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trlProps/ctrlProp16.xml" ContentType="application/vnd.ms-excel.controlproperti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trlProps/ctrlProp17.xml" ContentType="application/vnd.ms-excel.controlproperties+xml"/>
  <Override PartName="/xl/drawings/drawing5.xml" ContentType="application/vnd.openxmlformats-officedocument.drawing+xml"/>
  <Override PartName="/xl/ctrlProps/ctrlProp18.xml" ContentType="application/vnd.ms-excel.controlproperties+xml"/>
  <Override PartName="/xl/drawings/drawing6.xml" ContentType="application/vnd.openxmlformats-officedocument.drawing+xml"/>
  <Override PartName="/xl/ctrlProps/ctrlProp19.xml" ContentType="application/vnd.ms-excel.controlproperties+xml"/>
  <Override PartName="/xl/drawings/drawing7.xml" ContentType="application/vnd.openxmlformats-officedocument.drawing+xml"/>
  <Override PartName="/xl/ctrlProps/ctrlProp20.xml" ContentType="application/vnd.ms-excel.controlproperties+xml"/>
  <Override PartName="/xl/drawings/drawing8.xml" ContentType="application/vnd.openxmlformats-officedocument.drawing+xml"/>
  <Override PartName="/xl/ctrlProps/ctrlProp21.xml" ContentType="application/vnd.ms-excel.controlproperties+xml"/>
  <Override PartName="/xl/drawings/drawing9.xml" ContentType="application/vnd.openxmlformats-officedocument.drawing+xml"/>
  <Override PartName="/xl/ctrlProps/ctrlProp22.xml" ContentType="application/vnd.ms-excel.controlproperties+xml"/>
  <Override PartName="/xl/drawings/drawing10.xml" ContentType="application/vnd.openxmlformats-officedocument.drawing+xml"/>
  <Override PartName="/xl/ctrlProps/ctrlProp23.xml" ContentType="application/vnd.ms-excel.controlproperties+xml"/>
  <Override PartName="/xl/drawings/drawing11.xml" ContentType="application/vnd.openxmlformats-officedocument.drawing+xml"/>
  <Override PartName="/xl/ctrlProps/ctrlProp24.xml" ContentType="application/vnd.ms-excel.controlproperties+xml"/>
  <Override PartName="/xl/drawings/drawing12.xml" ContentType="application/vnd.openxmlformats-officedocument.drawing+xml"/>
  <Override PartName="/xl/ctrlProps/ctrlProp25.xml" ContentType="application/vnd.ms-excel.controlproperties+xml"/>
  <Override PartName="/xl/drawings/drawing13.xml" ContentType="application/vnd.openxmlformats-officedocument.drawing+xml"/>
  <Override PartName="/xl/ctrlProps/ctrlProp26.xml" ContentType="application/vnd.ms-excel.controlproperties+xml"/>
  <Override PartName="/xl/drawings/drawing14.xml" ContentType="application/vnd.openxmlformats-officedocument.drawing+xml"/>
  <Override PartName="/xl/ctrlProps/ctrlProp27.xml" ContentType="application/vnd.ms-excel.controlproperties+xml"/>
  <Override PartName="/xl/drawings/drawing15.xml" ContentType="application/vnd.openxmlformats-officedocument.drawing+xml"/>
  <Override PartName="/xl/ctrlProps/ctrlProp28.xml" ContentType="application/vnd.ms-excel.controlproperties+xml"/>
  <Override PartName="/xl/drawings/drawing16.xml" ContentType="application/vnd.openxmlformats-officedocument.drawing+xml"/>
  <Override PartName="/xl/ctrlProps/ctrlProp29.xml" ContentType="application/vnd.ms-excel.controlproperties+xml"/>
  <Override PartName="/xl/drawings/drawing17.xml" ContentType="application/vnd.openxmlformats-officedocument.drawing+xml"/>
  <Override PartName="/xl/ctrlProps/ctrlProp30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D:\Archiv 030\Skripte 200 SWL\SWL-Finanzwirtschaft\Übungen\"/>
    </mc:Choice>
  </mc:AlternateContent>
  <bookViews>
    <workbookView showSheetTabs="0" xWindow="90" yWindow="150" windowWidth="12000" windowHeight="6720"/>
  </bookViews>
  <sheets>
    <sheet name="Wegweiser" sheetId="3" r:id="rId1"/>
    <sheet name="1" sheetId="8" r:id="rId2"/>
    <sheet name="2" sheetId="9" r:id="rId3"/>
    <sheet name="3" sheetId="10" r:id="rId4"/>
    <sheet name="4" sheetId="11" r:id="rId5"/>
    <sheet name="5" sheetId="12" r:id="rId6"/>
    <sheet name="6" sheetId="13" r:id="rId7"/>
    <sheet name="7" sheetId="14" r:id="rId8"/>
    <sheet name="8" sheetId="4" r:id="rId9"/>
    <sheet name="9" sheetId="5" r:id="rId10"/>
    <sheet name="10" sheetId="17" r:id="rId11"/>
    <sheet name="11" sheetId="2" r:id="rId12"/>
    <sheet name="12" sheetId="6" r:id="rId13"/>
    <sheet name="13" sheetId="7" r:id="rId14"/>
    <sheet name="14" sheetId="15" r:id="rId15"/>
    <sheet name="15" sheetId="16" r:id="rId16"/>
    <sheet name="16" sheetId="18" r:id="rId17"/>
  </sheets>
  <calcPr calcId="162913"/>
</workbook>
</file>

<file path=xl/calcChain.xml><?xml version="1.0" encoding="utf-8"?>
<calcChain xmlns="http://schemas.openxmlformats.org/spreadsheetml/2006/main">
  <c r="G112" i="7" l="1"/>
  <c r="D112" i="7"/>
  <c r="C112" i="7"/>
  <c r="G111" i="7"/>
  <c r="D111" i="7"/>
  <c r="C111" i="7"/>
  <c r="G110" i="7"/>
  <c r="D110" i="7"/>
  <c r="C110" i="7"/>
  <c r="E110" i="7" s="1"/>
  <c r="G109" i="7"/>
  <c r="D109" i="7"/>
  <c r="C109" i="7"/>
  <c r="E109" i="7" s="1"/>
  <c r="G108" i="7"/>
  <c r="E108" i="7"/>
  <c r="D108" i="7"/>
  <c r="C108" i="7"/>
  <c r="G107" i="7"/>
  <c r="D107" i="7"/>
  <c r="C107" i="7"/>
  <c r="G106" i="7"/>
  <c r="D106" i="7"/>
  <c r="C106" i="7"/>
  <c r="E106" i="7" s="1"/>
  <c r="G105" i="7"/>
  <c r="D105" i="7"/>
  <c r="C105" i="7"/>
  <c r="E105" i="7" s="1"/>
  <c r="G104" i="7"/>
  <c r="D104" i="7"/>
  <c r="C104" i="7"/>
  <c r="E104" i="7" s="1"/>
  <c r="G103" i="7"/>
  <c r="D103" i="7"/>
  <c r="C103" i="7"/>
  <c r="G102" i="7"/>
  <c r="D102" i="7"/>
  <c r="G101" i="7"/>
  <c r="D101" i="7"/>
  <c r="G100" i="7"/>
  <c r="D100" i="7"/>
  <c r="G99" i="7"/>
  <c r="D99" i="7"/>
  <c r="G98" i="7"/>
  <c r="D98" i="7"/>
  <c r="G97" i="7"/>
  <c r="D97" i="7"/>
  <c r="G96" i="7"/>
  <c r="D96" i="7"/>
  <c r="G95" i="7"/>
  <c r="D95" i="7"/>
  <c r="G94" i="7"/>
  <c r="D94" i="7"/>
  <c r="G93" i="7"/>
  <c r="D93" i="7"/>
  <c r="J93" i="7" s="1"/>
  <c r="J94" i="7" s="1"/>
  <c r="B92" i="7"/>
  <c r="C93" i="7" s="1"/>
  <c r="E93" i="7" s="1"/>
  <c r="G86" i="7"/>
  <c r="C86" i="7"/>
  <c r="G85" i="7"/>
  <c r="C85" i="7"/>
  <c r="G84" i="7"/>
  <c r="C84" i="7"/>
  <c r="G83" i="7"/>
  <c r="C83" i="7"/>
  <c r="G82" i="7"/>
  <c r="C82" i="7"/>
  <c r="G81" i="7"/>
  <c r="C81" i="7"/>
  <c r="G80" i="7"/>
  <c r="C80" i="7"/>
  <c r="G79" i="7"/>
  <c r="C79" i="7"/>
  <c r="G78" i="7"/>
  <c r="C78" i="7"/>
  <c r="G77" i="7"/>
  <c r="C77" i="7"/>
  <c r="G76" i="7"/>
  <c r="G75" i="7"/>
  <c r="G74" i="7"/>
  <c r="G73" i="7"/>
  <c r="G72" i="7"/>
  <c r="G71" i="7"/>
  <c r="G70" i="7"/>
  <c r="G69" i="7"/>
  <c r="G68" i="7"/>
  <c r="D68" i="7"/>
  <c r="G67" i="7"/>
  <c r="D67" i="7"/>
  <c r="B66" i="7"/>
  <c r="C67" i="7" s="1"/>
  <c r="G60" i="7"/>
  <c r="E60" i="7"/>
  <c r="D60" i="7"/>
  <c r="C60" i="7"/>
  <c r="G59" i="7"/>
  <c r="E59" i="7"/>
  <c r="D59" i="7"/>
  <c r="C59" i="7"/>
  <c r="G58" i="7"/>
  <c r="E58" i="7"/>
  <c r="D58" i="7"/>
  <c r="C58" i="7"/>
  <c r="G57" i="7"/>
  <c r="E57" i="7"/>
  <c r="D57" i="7"/>
  <c r="C57" i="7"/>
  <c r="G56" i="7"/>
  <c r="E56" i="7"/>
  <c r="D56" i="7"/>
  <c r="C56" i="7"/>
  <c r="G55" i="7"/>
  <c r="E55" i="7"/>
  <c r="D55" i="7"/>
  <c r="C55" i="7"/>
  <c r="G54" i="7"/>
  <c r="E54" i="7"/>
  <c r="D54" i="7"/>
  <c r="C54" i="7"/>
  <c r="G53" i="7"/>
  <c r="E53" i="7"/>
  <c r="D53" i="7"/>
  <c r="C53" i="7"/>
  <c r="G52" i="7"/>
  <c r="E52" i="7"/>
  <c r="D52" i="7"/>
  <c r="C52" i="7"/>
  <c r="G51" i="7"/>
  <c r="E51" i="7"/>
  <c r="D51" i="7"/>
  <c r="C51" i="7"/>
  <c r="G50" i="7"/>
  <c r="G49" i="7"/>
  <c r="G48" i="7"/>
  <c r="G47" i="7"/>
  <c r="G46" i="7"/>
  <c r="G45" i="7"/>
  <c r="G44" i="7"/>
  <c r="G43" i="7"/>
  <c r="G42" i="7"/>
  <c r="D42" i="7"/>
  <c r="G41" i="7"/>
  <c r="D41" i="7"/>
  <c r="J41" i="7" s="1"/>
  <c r="B40" i="7"/>
  <c r="C41" i="7" s="1"/>
  <c r="G34" i="7"/>
  <c r="E34" i="7"/>
  <c r="D34" i="7"/>
  <c r="C34" i="7"/>
  <c r="G33" i="7"/>
  <c r="E33" i="7"/>
  <c r="D33" i="7"/>
  <c r="C33" i="7"/>
  <c r="G32" i="7"/>
  <c r="E32" i="7"/>
  <c r="D32" i="7"/>
  <c r="C32" i="7"/>
  <c r="G31" i="7"/>
  <c r="E31" i="7"/>
  <c r="D31" i="7"/>
  <c r="C31" i="7"/>
  <c r="G30" i="7"/>
  <c r="E30" i="7"/>
  <c r="D30" i="7"/>
  <c r="C30" i="7"/>
  <c r="G29" i="7"/>
  <c r="E29" i="7"/>
  <c r="D29" i="7"/>
  <c r="C29" i="7"/>
  <c r="G28" i="7"/>
  <c r="E28" i="7"/>
  <c r="D28" i="7"/>
  <c r="C28" i="7"/>
  <c r="G27" i="7"/>
  <c r="E27" i="7"/>
  <c r="D27" i="7"/>
  <c r="C27" i="7"/>
  <c r="G26" i="7"/>
  <c r="E26" i="7"/>
  <c r="D26" i="7"/>
  <c r="C26" i="7"/>
  <c r="G25" i="7"/>
  <c r="E25" i="7"/>
  <c r="D25" i="7"/>
  <c r="C25" i="7"/>
  <c r="G24" i="7"/>
  <c r="D24" i="7"/>
  <c r="G23" i="7"/>
  <c r="D23" i="7"/>
  <c r="G22" i="7"/>
  <c r="D22" i="7"/>
  <c r="G21" i="7"/>
  <c r="D21" i="7"/>
  <c r="G20" i="7"/>
  <c r="D20" i="7"/>
  <c r="G19" i="7"/>
  <c r="D19" i="7"/>
  <c r="G18" i="7"/>
  <c r="D18" i="7"/>
  <c r="G17" i="7"/>
  <c r="D17" i="7"/>
  <c r="G16" i="7"/>
  <c r="D16" i="7"/>
  <c r="G15" i="7"/>
  <c r="D15" i="7"/>
  <c r="J15" i="7" s="1"/>
  <c r="B14" i="7"/>
  <c r="C9" i="7"/>
  <c r="E45" i="7" s="1"/>
  <c r="C8" i="7"/>
  <c r="J42" i="7" l="1"/>
  <c r="J16" i="7"/>
  <c r="E41" i="7"/>
  <c r="I41" i="7"/>
  <c r="I67" i="7"/>
  <c r="E67" i="7"/>
  <c r="C15" i="7"/>
  <c r="B15" i="7"/>
  <c r="E50" i="7"/>
  <c r="E48" i="7"/>
  <c r="D35" i="7"/>
  <c r="D113" i="7"/>
  <c r="E111" i="7"/>
  <c r="B67" i="7"/>
  <c r="K93" i="7"/>
  <c r="J95" i="7"/>
  <c r="J96" i="7" s="1"/>
  <c r="J97" i="7" s="1"/>
  <c r="J98" i="7" s="1"/>
  <c r="J99" i="7" s="1"/>
  <c r="J100" i="7" s="1"/>
  <c r="J101" i="7" s="1"/>
  <c r="J102" i="7" s="1"/>
  <c r="J103" i="7" s="1"/>
  <c r="J104" i="7" s="1"/>
  <c r="J105" i="7" s="1"/>
  <c r="J106" i="7" s="1"/>
  <c r="J107" i="7" s="1"/>
  <c r="J108" i="7" s="1"/>
  <c r="J109" i="7" s="1"/>
  <c r="J110" i="7" s="1"/>
  <c r="J111" i="7" s="1"/>
  <c r="J112" i="7" s="1"/>
  <c r="E47" i="7"/>
  <c r="E43" i="7"/>
  <c r="E107" i="7"/>
  <c r="C10" i="7"/>
  <c r="J17" i="7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J33" i="7" s="1"/>
  <c r="J34" i="7" s="1"/>
  <c r="I93" i="7"/>
  <c r="E103" i="7"/>
  <c r="E49" i="7"/>
  <c r="B41" i="7"/>
  <c r="E44" i="7"/>
  <c r="E46" i="7"/>
  <c r="J67" i="7"/>
  <c r="J68" i="7" s="1"/>
  <c r="E112" i="7"/>
  <c r="B93" i="7"/>
  <c r="C13" i="15"/>
  <c r="B13" i="15"/>
  <c r="F12" i="15"/>
  <c r="E12" i="15"/>
  <c r="D12" i="15"/>
  <c r="D11" i="15"/>
  <c r="D10" i="15"/>
  <c r="D9" i="15"/>
  <c r="D8" i="15"/>
  <c r="B11" i="8"/>
  <c r="B17" i="8" s="1"/>
  <c r="C11" i="8"/>
  <c r="D11" i="8"/>
  <c r="E11" i="8"/>
  <c r="C17" i="8"/>
  <c r="D17" i="8"/>
  <c r="E17" i="8"/>
  <c r="B18" i="8"/>
  <c r="C18" i="8"/>
  <c r="D18" i="8"/>
  <c r="E18" i="8"/>
  <c r="B19" i="8"/>
  <c r="C19" i="8"/>
  <c r="D19" i="8"/>
  <c r="E19" i="8"/>
  <c r="B20" i="8"/>
  <c r="C20" i="8"/>
  <c r="D20" i="8"/>
  <c r="E20" i="8"/>
  <c r="B21" i="8"/>
  <c r="C21" i="8"/>
  <c r="D21" i="8"/>
  <c r="E21" i="8"/>
  <c r="B22" i="8"/>
  <c r="C22" i="8"/>
  <c r="D22" i="8"/>
  <c r="E22" i="8"/>
  <c r="B23" i="8"/>
  <c r="C23" i="8"/>
  <c r="D23" i="8"/>
  <c r="E23" i="8"/>
  <c r="B24" i="8"/>
  <c r="C24" i="8"/>
  <c r="D24" i="8"/>
  <c r="E24" i="8"/>
  <c r="B25" i="8"/>
  <c r="C25" i="8"/>
  <c r="D25" i="8"/>
  <c r="E25" i="8"/>
  <c r="B26" i="8"/>
  <c r="C26" i="8"/>
  <c r="D26" i="8"/>
  <c r="E26" i="8"/>
  <c r="B27" i="8"/>
  <c r="C27" i="8"/>
  <c r="D27" i="8"/>
  <c r="E27" i="8"/>
  <c r="B28" i="8"/>
  <c r="C28" i="8"/>
  <c r="D28" i="8"/>
  <c r="E28" i="8"/>
  <c r="B29" i="8"/>
  <c r="C29" i="8"/>
  <c r="D29" i="8"/>
  <c r="E29" i="8"/>
  <c r="B30" i="8"/>
  <c r="C30" i="8"/>
  <c r="D30" i="8"/>
  <c r="E30" i="8"/>
  <c r="B31" i="8"/>
  <c r="C31" i="8"/>
  <c r="D31" i="8"/>
  <c r="E31" i="8"/>
  <c r="B32" i="8"/>
  <c r="C32" i="8"/>
  <c r="D32" i="8"/>
  <c r="E32" i="8"/>
  <c r="B33" i="8"/>
  <c r="C33" i="8"/>
  <c r="D33" i="8"/>
  <c r="E33" i="8"/>
  <c r="B34" i="8"/>
  <c r="C34" i="8"/>
  <c r="D34" i="8"/>
  <c r="E34" i="8"/>
  <c r="B35" i="8"/>
  <c r="C35" i="8"/>
  <c r="D35" i="8"/>
  <c r="E35" i="8"/>
  <c r="B36" i="8"/>
  <c r="C36" i="8"/>
  <c r="D36" i="8"/>
  <c r="E36" i="8"/>
  <c r="B37" i="8"/>
  <c r="C37" i="8"/>
  <c r="D37" i="8"/>
  <c r="E37" i="8"/>
  <c r="B38" i="8"/>
  <c r="C38" i="8"/>
  <c r="D38" i="8"/>
  <c r="E38" i="8"/>
  <c r="B13" i="17"/>
  <c r="B14" i="17"/>
  <c r="B15" i="17"/>
  <c r="B20" i="17"/>
  <c r="B11" i="2"/>
  <c r="B12" i="2"/>
  <c r="B13" i="2"/>
  <c r="B23" i="2"/>
  <c r="B24" i="2"/>
  <c r="B25" i="2"/>
  <c r="B35" i="2"/>
  <c r="B37" i="2"/>
  <c r="B11" i="6"/>
  <c r="B12" i="6"/>
  <c r="B13" i="6"/>
  <c r="B14" i="6" s="1"/>
  <c r="B15" i="6" s="1"/>
  <c r="C6" i="16"/>
  <c r="B7" i="16"/>
  <c r="C8" i="16"/>
  <c r="C20" i="16" s="1"/>
  <c r="A9" i="16"/>
  <c r="C10" i="16"/>
  <c r="B11" i="16"/>
  <c r="C12" i="16"/>
  <c r="D13" i="16"/>
  <c r="E13" i="16"/>
  <c r="F13" i="16"/>
  <c r="C17" i="16"/>
  <c r="D17" i="16" s="1"/>
  <c r="C18" i="16"/>
  <c r="E18" i="16" s="1"/>
  <c r="D18" i="16"/>
  <c r="C19" i="16"/>
  <c r="D19" i="16" s="1"/>
  <c r="C21" i="16"/>
  <c r="D21" i="16" s="1"/>
  <c r="C22" i="16"/>
  <c r="E22" i="16" s="1"/>
  <c r="D22" i="16"/>
  <c r="C23" i="16"/>
  <c r="D23" i="16" s="1"/>
  <c r="C24" i="16"/>
  <c r="E24" i="16" s="1"/>
  <c r="D24" i="16"/>
  <c r="B12" i="9"/>
  <c r="B18" i="9" s="1"/>
  <c r="C12" i="9"/>
  <c r="D12" i="9"/>
  <c r="D23" i="9" s="1"/>
  <c r="E12" i="9"/>
  <c r="E18" i="9" s="1"/>
  <c r="C18" i="9"/>
  <c r="B19" i="9"/>
  <c r="C19" i="9"/>
  <c r="E19" i="9"/>
  <c r="B20" i="9"/>
  <c r="C20" i="9"/>
  <c r="E20" i="9"/>
  <c r="B21" i="9"/>
  <c r="C21" i="9"/>
  <c r="E21" i="9"/>
  <c r="B22" i="9"/>
  <c r="C22" i="9"/>
  <c r="E22" i="9"/>
  <c r="B23" i="9"/>
  <c r="C23" i="9"/>
  <c r="E23" i="9"/>
  <c r="B24" i="9"/>
  <c r="C24" i="9"/>
  <c r="E24" i="9"/>
  <c r="B25" i="9"/>
  <c r="C25" i="9"/>
  <c r="E25" i="9"/>
  <c r="B26" i="9"/>
  <c r="C26" i="9"/>
  <c r="E26" i="9"/>
  <c r="B27" i="9"/>
  <c r="C27" i="9"/>
  <c r="E27" i="9"/>
  <c r="B28" i="9"/>
  <c r="C28" i="9"/>
  <c r="E28" i="9"/>
  <c r="B29" i="9"/>
  <c r="C29" i="9"/>
  <c r="E29" i="9"/>
  <c r="B30" i="9"/>
  <c r="C30" i="9"/>
  <c r="E30" i="9"/>
  <c r="B31" i="9"/>
  <c r="C31" i="9"/>
  <c r="E31" i="9"/>
  <c r="B32" i="9"/>
  <c r="C32" i="9"/>
  <c r="E32" i="9"/>
  <c r="B33" i="9"/>
  <c r="C33" i="9"/>
  <c r="E33" i="9"/>
  <c r="B34" i="9"/>
  <c r="C34" i="9"/>
  <c r="E34" i="9"/>
  <c r="B35" i="9"/>
  <c r="C35" i="9"/>
  <c r="E35" i="9"/>
  <c r="B36" i="9"/>
  <c r="C36" i="9"/>
  <c r="E36" i="9"/>
  <c r="B37" i="9"/>
  <c r="C37" i="9"/>
  <c r="E37" i="9"/>
  <c r="B38" i="9"/>
  <c r="C38" i="9"/>
  <c r="E38" i="9"/>
  <c r="B39" i="9"/>
  <c r="C39" i="9"/>
  <c r="E39" i="9"/>
  <c r="B17" i="12"/>
  <c r="C17" i="12"/>
  <c r="C23" i="12" s="1"/>
  <c r="D17" i="12"/>
  <c r="B18" i="12"/>
  <c r="C18" i="12"/>
  <c r="D18" i="12"/>
  <c r="B19" i="12"/>
  <c r="B23" i="12" s="1"/>
  <c r="C19" i="12"/>
  <c r="D19" i="12"/>
  <c r="B20" i="12"/>
  <c r="C20" i="12"/>
  <c r="D20" i="12"/>
  <c r="B21" i="12"/>
  <c r="C21" i="12"/>
  <c r="D21" i="12"/>
  <c r="D23" i="12" s="1"/>
  <c r="B22" i="12"/>
  <c r="C22" i="12"/>
  <c r="D22" i="12"/>
  <c r="B20" i="13"/>
  <c r="C20" i="13"/>
  <c r="D20" i="13"/>
  <c r="E20" i="13"/>
  <c r="B21" i="13"/>
  <c r="C21" i="13"/>
  <c r="D21" i="13"/>
  <c r="E21" i="13"/>
  <c r="B22" i="13"/>
  <c r="C22" i="13"/>
  <c r="C27" i="13" s="1"/>
  <c r="D22" i="13"/>
  <c r="E22" i="13"/>
  <c r="B23" i="13"/>
  <c r="C23" i="13"/>
  <c r="D23" i="13"/>
  <c r="E23" i="13"/>
  <c r="B24" i="13"/>
  <c r="C24" i="13"/>
  <c r="D24" i="13"/>
  <c r="D27" i="13" s="1"/>
  <c r="D30" i="13" s="1"/>
  <c r="E24" i="13"/>
  <c r="B25" i="13"/>
  <c r="C25" i="13"/>
  <c r="D25" i="13"/>
  <c r="E25" i="13"/>
  <c r="B26" i="13"/>
  <c r="C26" i="13"/>
  <c r="D26" i="13"/>
  <c r="E26" i="13"/>
  <c r="B27" i="13"/>
  <c r="B30" i="13" s="1"/>
  <c r="E27" i="13"/>
  <c r="B19" i="14"/>
  <c r="C19" i="14"/>
  <c r="C20" i="14" s="1"/>
  <c r="C21" i="14" s="1"/>
  <c r="C22" i="14" s="1"/>
  <c r="C23" i="14" s="1"/>
  <c r="C24" i="14" s="1"/>
  <c r="B20" i="14"/>
  <c r="B21" i="14" s="1"/>
  <c r="B22" i="14" s="1"/>
  <c r="B23" i="14" s="1"/>
  <c r="B24" i="14" s="1"/>
  <c r="B6" i="4"/>
  <c r="B11" i="4"/>
  <c r="B13" i="4" s="1"/>
  <c r="F19" i="4"/>
  <c r="A20" i="4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B6" i="5"/>
  <c r="B15" i="5" s="1"/>
  <c r="B11" i="5"/>
  <c r="B13" i="5"/>
  <c r="E19" i="5" s="1"/>
  <c r="F19" i="5"/>
  <c r="A20" i="5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K67" i="7" l="1"/>
  <c r="C42" i="7"/>
  <c r="B42" i="7"/>
  <c r="H41" i="7"/>
  <c r="C94" i="7"/>
  <c r="B94" i="7"/>
  <c r="H93" i="7"/>
  <c r="H67" i="7"/>
  <c r="B68" i="7"/>
  <c r="C68" i="7"/>
  <c r="C16" i="7"/>
  <c r="B16" i="7"/>
  <c r="H15" i="7"/>
  <c r="I15" i="7"/>
  <c r="E15" i="7"/>
  <c r="K41" i="7"/>
  <c r="D13" i="15"/>
  <c r="E11" i="15" s="1"/>
  <c r="F11" i="15" s="1"/>
  <c r="E9" i="15"/>
  <c r="F9" i="15" s="1"/>
  <c r="G19" i="5"/>
  <c r="E20" i="5" s="1"/>
  <c r="E20" i="16"/>
  <c r="D20" i="16"/>
  <c r="D25" i="16" s="1"/>
  <c r="F20" i="16"/>
  <c r="B15" i="4"/>
  <c r="E19" i="4"/>
  <c r="B19" i="5"/>
  <c r="B20" i="5" s="1"/>
  <c r="C19" i="5"/>
  <c r="D37" i="9"/>
  <c r="D25" i="9"/>
  <c r="D35" i="9"/>
  <c r="D27" i="9"/>
  <c r="F23" i="16"/>
  <c r="F21" i="16"/>
  <c r="F19" i="16"/>
  <c r="F17" i="16"/>
  <c r="D31" i="9"/>
  <c r="D19" i="9"/>
  <c r="E23" i="16"/>
  <c r="E21" i="16"/>
  <c r="E19" i="16"/>
  <c r="E17" i="16"/>
  <c r="D29" i="9"/>
  <c r="D38" i="9"/>
  <c r="D36" i="9"/>
  <c r="D34" i="9"/>
  <c r="D32" i="9"/>
  <c r="D30" i="9"/>
  <c r="D28" i="9"/>
  <c r="D26" i="9"/>
  <c r="D24" i="9"/>
  <c r="D22" i="9"/>
  <c r="D20" i="9"/>
  <c r="D18" i="9"/>
  <c r="D33" i="9"/>
  <c r="D21" i="9"/>
  <c r="F24" i="16"/>
  <c r="F22" i="16"/>
  <c r="F18" i="16"/>
  <c r="D39" i="9"/>
  <c r="I42" i="7" l="1"/>
  <c r="E42" i="7"/>
  <c r="H94" i="7"/>
  <c r="C95" i="7"/>
  <c r="B95" i="7"/>
  <c r="K15" i="7"/>
  <c r="E16" i="7"/>
  <c r="K16" i="7" s="1"/>
  <c r="I16" i="7"/>
  <c r="E94" i="7"/>
  <c r="I94" i="7"/>
  <c r="H16" i="7"/>
  <c r="C17" i="7"/>
  <c r="B17" i="7"/>
  <c r="I68" i="7"/>
  <c r="E68" i="7"/>
  <c r="C69" i="7"/>
  <c r="I69" i="7" s="1"/>
  <c r="H68" i="7"/>
  <c r="H42" i="7"/>
  <c r="C43" i="7"/>
  <c r="E8" i="15"/>
  <c r="E10" i="15"/>
  <c r="F10" i="15" s="1"/>
  <c r="E13" i="15"/>
  <c r="F8" i="15"/>
  <c r="F13" i="15" s="1"/>
  <c r="G20" i="5"/>
  <c r="E21" i="5"/>
  <c r="B19" i="4"/>
  <c r="B20" i="4" s="1"/>
  <c r="C19" i="4"/>
  <c r="E25" i="16"/>
  <c r="F25" i="16"/>
  <c r="C20" i="5"/>
  <c r="B21" i="5"/>
  <c r="G19" i="4"/>
  <c r="E20" i="4" s="1"/>
  <c r="K94" i="7" l="1"/>
  <c r="E69" i="7"/>
  <c r="K68" i="7"/>
  <c r="I95" i="7"/>
  <c r="E95" i="7"/>
  <c r="K95" i="7" s="1"/>
  <c r="I17" i="7"/>
  <c r="E17" i="7"/>
  <c r="K17" i="7" s="1"/>
  <c r="K42" i="7"/>
  <c r="K43" i="7" s="1"/>
  <c r="K44" i="7" s="1"/>
  <c r="K45" i="7" s="1"/>
  <c r="K46" i="7" s="1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 s="1"/>
  <c r="K59" i="7" s="1"/>
  <c r="K60" i="7" s="1"/>
  <c r="E61" i="7"/>
  <c r="H95" i="7"/>
  <c r="C96" i="7"/>
  <c r="B96" i="7"/>
  <c r="B18" i="7"/>
  <c r="H17" i="7"/>
  <c r="C18" i="7"/>
  <c r="I43" i="7"/>
  <c r="D43" i="7"/>
  <c r="G20" i="4"/>
  <c r="E21" i="4" s="1"/>
  <c r="B22" i="5"/>
  <c r="C21" i="5"/>
  <c r="G21" i="5"/>
  <c r="E22" i="5"/>
  <c r="B21" i="4"/>
  <c r="C20" i="4"/>
  <c r="K69" i="7" l="1"/>
  <c r="C97" i="7"/>
  <c r="B97" i="7"/>
  <c r="H96" i="7"/>
  <c r="J43" i="7"/>
  <c r="B43" i="7"/>
  <c r="I18" i="7"/>
  <c r="E18" i="7"/>
  <c r="K18" i="7" s="1"/>
  <c r="B19" i="7"/>
  <c r="C19" i="7"/>
  <c r="H18" i="7"/>
  <c r="I96" i="7"/>
  <c r="E96" i="7"/>
  <c r="K96" i="7" s="1"/>
  <c r="D69" i="7"/>
  <c r="G21" i="4"/>
  <c r="E22" i="4" s="1"/>
  <c r="B23" i="5"/>
  <c r="C22" i="5"/>
  <c r="B22" i="4"/>
  <c r="C21" i="4"/>
  <c r="G22" i="5"/>
  <c r="E23" i="5"/>
  <c r="H19" i="7" l="1"/>
  <c r="C20" i="7"/>
  <c r="B20" i="7"/>
  <c r="C44" i="7"/>
  <c r="H43" i="7"/>
  <c r="C98" i="7"/>
  <c r="B98" i="7"/>
  <c r="H97" i="7"/>
  <c r="E19" i="7"/>
  <c r="K19" i="7" s="1"/>
  <c r="I19" i="7"/>
  <c r="J69" i="7"/>
  <c r="B69" i="7"/>
  <c r="I97" i="7"/>
  <c r="E97" i="7"/>
  <c r="E23" i="4"/>
  <c r="G22" i="4"/>
  <c r="G23" i="5"/>
  <c r="E24" i="5" s="1"/>
  <c r="C23" i="5"/>
  <c r="B24" i="5"/>
  <c r="B23" i="4"/>
  <c r="C22" i="4"/>
  <c r="E98" i="7" l="1"/>
  <c r="I98" i="7"/>
  <c r="I44" i="7"/>
  <c r="D44" i="7"/>
  <c r="H98" i="7"/>
  <c r="B99" i="7"/>
  <c r="C99" i="7"/>
  <c r="K97" i="7"/>
  <c r="E70" i="7"/>
  <c r="C70" i="7"/>
  <c r="H69" i="7"/>
  <c r="H20" i="7"/>
  <c r="C21" i="7"/>
  <c r="B21" i="7"/>
  <c r="E20" i="7"/>
  <c r="K20" i="7" s="1"/>
  <c r="I20" i="7"/>
  <c r="G24" i="5"/>
  <c r="E25" i="5" s="1"/>
  <c r="C24" i="5"/>
  <c r="B25" i="5"/>
  <c r="C23" i="4"/>
  <c r="B24" i="4"/>
  <c r="G23" i="4"/>
  <c r="E24" i="4" s="1"/>
  <c r="K70" i="7" l="1"/>
  <c r="H99" i="7"/>
  <c r="C100" i="7"/>
  <c r="B100" i="7"/>
  <c r="I21" i="7"/>
  <c r="E21" i="7"/>
  <c r="K21" i="7" s="1"/>
  <c r="D70" i="7"/>
  <c r="I99" i="7"/>
  <c r="E99" i="7"/>
  <c r="B22" i="7"/>
  <c r="C22" i="7"/>
  <c r="H21" i="7"/>
  <c r="J44" i="7"/>
  <c r="B44" i="7"/>
  <c r="I70" i="7"/>
  <c r="K98" i="7"/>
  <c r="G24" i="4"/>
  <c r="E25" i="4"/>
  <c r="G25" i="5"/>
  <c r="E26" i="5"/>
  <c r="C24" i="4"/>
  <c r="B25" i="4"/>
  <c r="B26" i="5"/>
  <c r="C25" i="5"/>
  <c r="K99" i="7" l="1"/>
  <c r="C23" i="7"/>
  <c r="B23" i="7"/>
  <c r="H22" i="7"/>
  <c r="C101" i="7"/>
  <c r="B101" i="7"/>
  <c r="H100" i="7"/>
  <c r="J70" i="7"/>
  <c r="B70" i="7"/>
  <c r="H44" i="7"/>
  <c r="C45" i="7"/>
  <c r="I100" i="7"/>
  <c r="E100" i="7"/>
  <c r="K100" i="7" s="1"/>
  <c r="I22" i="7"/>
  <c r="E22" i="7"/>
  <c r="K22" i="7" s="1"/>
  <c r="B26" i="4"/>
  <c r="C25" i="4"/>
  <c r="G26" i="5"/>
  <c r="E27" i="5" s="1"/>
  <c r="G25" i="4"/>
  <c r="E26" i="4" s="1"/>
  <c r="B27" i="5"/>
  <c r="C26" i="5"/>
  <c r="C71" i="7" l="1"/>
  <c r="H70" i="7"/>
  <c r="E71" i="7"/>
  <c r="C102" i="7"/>
  <c r="B102" i="7"/>
  <c r="H101" i="7"/>
  <c r="E101" i="7"/>
  <c r="K101" i="7" s="1"/>
  <c r="I101" i="7"/>
  <c r="B24" i="7"/>
  <c r="C24" i="7"/>
  <c r="H23" i="7"/>
  <c r="E23" i="7"/>
  <c r="K23" i="7" s="1"/>
  <c r="I23" i="7"/>
  <c r="I45" i="7"/>
  <c r="D45" i="7"/>
  <c r="G26" i="4"/>
  <c r="E27" i="4" s="1"/>
  <c r="G27" i="5"/>
  <c r="E28" i="5" s="1"/>
  <c r="C27" i="5"/>
  <c r="B28" i="5"/>
  <c r="B27" i="4"/>
  <c r="C26" i="4"/>
  <c r="E24" i="7" l="1"/>
  <c r="I24" i="7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H102" i="7"/>
  <c r="B103" i="7"/>
  <c r="E102" i="7"/>
  <c r="I102" i="7"/>
  <c r="I103" i="7" s="1"/>
  <c r="I104" i="7" s="1"/>
  <c r="I105" i="7" s="1"/>
  <c r="I106" i="7" s="1"/>
  <c r="I107" i="7" s="1"/>
  <c r="I108" i="7" s="1"/>
  <c r="I109" i="7" s="1"/>
  <c r="I110" i="7" s="1"/>
  <c r="I111" i="7" s="1"/>
  <c r="I112" i="7" s="1"/>
  <c r="C113" i="7"/>
  <c r="K71" i="7"/>
  <c r="H24" i="7"/>
  <c r="B25" i="7"/>
  <c r="J45" i="7"/>
  <c r="B45" i="7"/>
  <c r="C35" i="7"/>
  <c r="I71" i="7"/>
  <c r="D71" i="7"/>
  <c r="G28" i="5"/>
  <c r="E29" i="5" s="1"/>
  <c r="G27" i="4"/>
  <c r="E28" i="4" s="1"/>
  <c r="C28" i="5"/>
  <c r="B29" i="5"/>
  <c r="C27" i="4"/>
  <c r="B28" i="4"/>
  <c r="J71" i="7" l="1"/>
  <c r="B71" i="7"/>
  <c r="B26" i="7"/>
  <c r="H25" i="7"/>
  <c r="K102" i="7"/>
  <c r="K103" i="7" s="1"/>
  <c r="K104" i="7" s="1"/>
  <c r="K105" i="7" s="1"/>
  <c r="K106" i="7" s="1"/>
  <c r="K107" i="7" s="1"/>
  <c r="K108" i="7" s="1"/>
  <c r="K109" i="7" s="1"/>
  <c r="K110" i="7" s="1"/>
  <c r="K111" i="7" s="1"/>
  <c r="K112" i="7" s="1"/>
  <c r="E113" i="7"/>
  <c r="H103" i="7"/>
  <c r="B104" i="7"/>
  <c r="C46" i="7"/>
  <c r="H45" i="7"/>
  <c r="K24" i="7"/>
  <c r="K25" i="7" s="1"/>
  <c r="K26" i="7" s="1"/>
  <c r="K27" i="7" s="1"/>
  <c r="K28" i="7" s="1"/>
  <c r="K29" i="7" s="1"/>
  <c r="K30" i="7" s="1"/>
  <c r="K31" i="7" s="1"/>
  <c r="K32" i="7" s="1"/>
  <c r="K33" i="7" s="1"/>
  <c r="K34" i="7" s="1"/>
  <c r="E35" i="7"/>
  <c r="G28" i="4"/>
  <c r="E29" i="4"/>
  <c r="G29" i="5"/>
  <c r="E30" i="5" s="1"/>
  <c r="B30" i="5"/>
  <c r="C29" i="5"/>
  <c r="B29" i="4"/>
  <c r="C28" i="4"/>
  <c r="I46" i="7" l="1"/>
  <c r="D46" i="7"/>
  <c r="B105" i="7"/>
  <c r="H104" i="7"/>
  <c r="B27" i="7"/>
  <c r="H26" i="7"/>
  <c r="H71" i="7"/>
  <c r="C72" i="7"/>
  <c r="I72" i="7" s="1"/>
  <c r="G30" i="5"/>
  <c r="E31" i="5" s="1"/>
  <c r="G29" i="4"/>
  <c r="E30" i="4" s="1"/>
  <c r="B31" i="5"/>
  <c r="C30" i="5"/>
  <c r="B30" i="4"/>
  <c r="C29" i="4"/>
  <c r="E72" i="7" l="1"/>
  <c r="H27" i="7"/>
  <c r="B28" i="7"/>
  <c r="B106" i="7"/>
  <c r="H105" i="7"/>
  <c r="J46" i="7"/>
  <c r="B46" i="7"/>
  <c r="G30" i="4"/>
  <c r="E31" i="4" s="1"/>
  <c r="G31" i="5"/>
  <c r="E32" i="5" s="1"/>
  <c r="C31" i="5"/>
  <c r="B32" i="5"/>
  <c r="B31" i="4"/>
  <c r="C30" i="4"/>
  <c r="H46" i="7" l="1"/>
  <c r="C47" i="7"/>
  <c r="H28" i="7"/>
  <c r="B29" i="7"/>
  <c r="H106" i="7"/>
  <c r="B107" i="7"/>
  <c r="K72" i="7"/>
  <c r="D72" i="7"/>
  <c r="G32" i="5"/>
  <c r="E33" i="5" s="1"/>
  <c r="G31" i="4"/>
  <c r="E32" i="4" s="1"/>
  <c r="C32" i="5"/>
  <c r="B33" i="5"/>
  <c r="C31" i="4"/>
  <c r="B32" i="4"/>
  <c r="J72" i="7" l="1"/>
  <c r="B72" i="7"/>
  <c r="H107" i="7"/>
  <c r="B108" i="7"/>
  <c r="B30" i="7"/>
  <c r="H29" i="7"/>
  <c r="I47" i="7"/>
  <c r="D47" i="7"/>
  <c r="G32" i="4"/>
  <c r="E33" i="4"/>
  <c r="G33" i="5"/>
  <c r="E34" i="5" s="1"/>
  <c r="B34" i="5"/>
  <c r="C33" i="5"/>
  <c r="C32" i="4"/>
  <c r="B33" i="4"/>
  <c r="C73" i="7" l="1"/>
  <c r="I73" i="7" s="1"/>
  <c r="H72" i="7"/>
  <c r="E73" i="7"/>
  <c r="K73" i="7" s="1"/>
  <c r="J47" i="7"/>
  <c r="B47" i="7"/>
  <c r="B31" i="7"/>
  <c r="H30" i="7"/>
  <c r="B109" i="7"/>
  <c r="H108" i="7"/>
  <c r="G34" i="5"/>
  <c r="E35" i="5" s="1"/>
  <c r="B34" i="4"/>
  <c r="C33" i="4"/>
  <c r="B35" i="5"/>
  <c r="C34" i="5"/>
  <c r="G33" i="4"/>
  <c r="E34" i="4" s="1"/>
  <c r="B110" i="7" l="1"/>
  <c r="H109" i="7"/>
  <c r="B32" i="7"/>
  <c r="H31" i="7"/>
  <c r="H47" i="7"/>
  <c r="C48" i="7"/>
  <c r="D73" i="7"/>
  <c r="G34" i="4"/>
  <c r="E35" i="4" s="1"/>
  <c r="G35" i="5"/>
  <c r="E36" i="5" s="1"/>
  <c r="B35" i="4"/>
  <c r="C34" i="4"/>
  <c r="B36" i="5"/>
  <c r="C35" i="5"/>
  <c r="J73" i="7" l="1"/>
  <c r="B73" i="7"/>
  <c r="I48" i="7"/>
  <c r="D48" i="7"/>
  <c r="H32" i="7"/>
  <c r="B33" i="7"/>
  <c r="H110" i="7"/>
  <c r="B111" i="7"/>
  <c r="G36" i="5"/>
  <c r="E37" i="5" s="1"/>
  <c r="G35" i="4"/>
  <c r="E36" i="4" s="1"/>
  <c r="C35" i="4"/>
  <c r="B36" i="4"/>
  <c r="C36" i="5"/>
  <c r="B37" i="5"/>
  <c r="H111" i="7" l="1"/>
  <c r="B112" i="7"/>
  <c r="H112" i="7" s="1"/>
  <c r="B34" i="7"/>
  <c r="H34" i="7" s="1"/>
  <c r="H33" i="7"/>
  <c r="J48" i="7"/>
  <c r="B48" i="7"/>
  <c r="C74" i="7"/>
  <c r="I74" i="7" s="1"/>
  <c r="H73" i="7"/>
  <c r="G36" i="4"/>
  <c r="E37" i="4"/>
  <c r="G37" i="5"/>
  <c r="E38" i="5"/>
  <c r="C36" i="4"/>
  <c r="B37" i="4"/>
  <c r="B38" i="5"/>
  <c r="C37" i="5"/>
  <c r="E74" i="7" l="1"/>
  <c r="K74" i="7" s="1"/>
  <c r="H48" i="7"/>
  <c r="C49" i="7"/>
  <c r="B39" i="5"/>
  <c r="C38" i="5"/>
  <c r="B38" i="4"/>
  <c r="C37" i="4"/>
  <c r="G38" i="5"/>
  <c r="E39" i="5"/>
  <c r="G37" i="4"/>
  <c r="E38" i="4" s="1"/>
  <c r="I49" i="7" l="1"/>
  <c r="D49" i="7"/>
  <c r="D74" i="7"/>
  <c r="E39" i="4"/>
  <c r="G38" i="4"/>
  <c r="B39" i="4"/>
  <c r="C38" i="4"/>
  <c r="C39" i="5"/>
  <c r="B40" i="5"/>
  <c r="J74" i="7" l="1"/>
  <c r="B74" i="7"/>
  <c r="J49" i="7"/>
  <c r="B49" i="7"/>
  <c r="C39" i="4"/>
  <c r="B40" i="4"/>
  <c r="B41" i="5"/>
  <c r="C40" i="5"/>
  <c r="C50" i="7" l="1"/>
  <c r="H49" i="7"/>
  <c r="H74" i="7"/>
  <c r="C75" i="7"/>
  <c r="I75" i="7" s="1"/>
  <c r="C41" i="5"/>
  <c r="B42" i="5"/>
  <c r="C40" i="4"/>
  <c r="B41" i="4"/>
  <c r="E75" i="7" l="1"/>
  <c r="I50" i="7"/>
  <c r="I51" i="7" s="1"/>
  <c r="I52" i="7" s="1"/>
  <c r="I53" i="7" s="1"/>
  <c r="I54" i="7" s="1"/>
  <c r="I55" i="7" s="1"/>
  <c r="I56" i="7" s="1"/>
  <c r="I57" i="7" s="1"/>
  <c r="I58" i="7" s="1"/>
  <c r="I59" i="7" s="1"/>
  <c r="I60" i="7" s="1"/>
  <c r="D50" i="7"/>
  <c r="C61" i="7"/>
  <c r="C41" i="4"/>
  <c r="B42" i="4"/>
  <c r="C42" i="5"/>
  <c r="B43" i="5"/>
  <c r="J50" i="7" l="1"/>
  <c r="J51" i="7" s="1"/>
  <c r="J52" i="7" s="1"/>
  <c r="J53" i="7" s="1"/>
  <c r="J54" i="7" s="1"/>
  <c r="J55" i="7" s="1"/>
  <c r="J56" i="7" s="1"/>
  <c r="J57" i="7" s="1"/>
  <c r="J58" i="7" s="1"/>
  <c r="J59" i="7" s="1"/>
  <c r="J60" i="7" s="1"/>
  <c r="D61" i="7"/>
  <c r="B50" i="7"/>
  <c r="K75" i="7"/>
  <c r="D75" i="7"/>
  <c r="B44" i="5"/>
  <c r="C43" i="5"/>
  <c r="C42" i="4"/>
  <c r="B43" i="4"/>
  <c r="J75" i="7" l="1"/>
  <c r="B75" i="7"/>
  <c r="B51" i="7"/>
  <c r="H50" i="7"/>
  <c r="B44" i="4"/>
  <c r="C43" i="4"/>
  <c r="C44" i="5"/>
  <c r="B45" i="5"/>
  <c r="H51" i="7" l="1"/>
  <c r="B52" i="7"/>
  <c r="H75" i="7"/>
  <c r="C76" i="7"/>
  <c r="D76" i="7" s="1"/>
  <c r="J76" i="7" s="1"/>
  <c r="B46" i="5"/>
  <c r="C45" i="5"/>
  <c r="C44" i="4"/>
  <c r="B45" i="4"/>
  <c r="B76" i="7" l="1"/>
  <c r="I76" i="7"/>
  <c r="I77" i="7" s="1"/>
  <c r="I78" i="7" s="1"/>
  <c r="I79" i="7" s="1"/>
  <c r="I80" i="7" s="1"/>
  <c r="I81" i="7" s="1"/>
  <c r="I82" i="7" s="1"/>
  <c r="I83" i="7" s="1"/>
  <c r="I84" i="7" s="1"/>
  <c r="I85" i="7" s="1"/>
  <c r="I86" i="7" s="1"/>
  <c r="C87" i="7"/>
  <c r="E76" i="7"/>
  <c r="K76" i="7" s="1"/>
  <c r="H52" i="7"/>
  <c r="B53" i="7"/>
  <c r="C45" i="4"/>
  <c r="B46" i="4"/>
  <c r="C46" i="5"/>
  <c r="B47" i="5"/>
  <c r="B54" i="7" l="1"/>
  <c r="H53" i="7"/>
  <c r="H76" i="7"/>
  <c r="D77" i="7"/>
  <c r="J77" i="7" s="1"/>
  <c r="C47" i="5"/>
  <c r="B48" i="5"/>
  <c r="B47" i="4"/>
  <c r="C46" i="4"/>
  <c r="E77" i="7" l="1"/>
  <c r="K77" i="7" s="1"/>
  <c r="B77" i="7"/>
  <c r="H54" i="7"/>
  <c r="B55" i="7"/>
  <c r="C47" i="4"/>
  <c r="B48" i="4"/>
  <c r="B49" i="5"/>
  <c r="C48" i="5"/>
  <c r="H55" i="7" l="1"/>
  <c r="B56" i="7"/>
  <c r="D78" i="7"/>
  <c r="J78" i="7" s="1"/>
  <c r="H77" i="7"/>
  <c r="C49" i="5"/>
  <c r="B50" i="5"/>
  <c r="B49" i="4"/>
  <c r="C48" i="4"/>
  <c r="B78" i="7" l="1"/>
  <c r="E78" i="7"/>
  <c r="K78" i="7" s="1"/>
  <c r="H56" i="7"/>
  <c r="B57" i="7"/>
  <c r="C49" i="4"/>
  <c r="B50" i="4"/>
  <c r="C50" i="5"/>
  <c r="B51" i="5"/>
  <c r="B58" i="7" l="1"/>
  <c r="H57" i="7"/>
  <c r="D79" i="7"/>
  <c r="J79" i="7" s="1"/>
  <c r="H78" i="7"/>
  <c r="B52" i="5"/>
  <c r="C51" i="5"/>
  <c r="C50" i="4"/>
  <c r="B51" i="4"/>
  <c r="B79" i="7" l="1"/>
  <c r="E79" i="7"/>
  <c r="K79" i="7" s="1"/>
  <c r="B59" i="7"/>
  <c r="H58" i="7"/>
  <c r="B52" i="4"/>
  <c r="C51" i="4"/>
  <c r="C52" i="5"/>
  <c r="B53" i="5"/>
  <c r="C53" i="5" s="1"/>
  <c r="B60" i="7" l="1"/>
  <c r="H60" i="7" s="1"/>
  <c r="H59" i="7"/>
  <c r="H79" i="7"/>
  <c r="D80" i="7"/>
  <c r="J80" i="7" s="1"/>
  <c r="C52" i="4"/>
  <c r="B53" i="4"/>
  <c r="C53" i="4" s="1"/>
  <c r="E80" i="7" l="1"/>
  <c r="K80" i="7" s="1"/>
  <c r="B80" i="7"/>
  <c r="H80" i="7" l="1"/>
  <c r="D81" i="7"/>
  <c r="J81" i="7" s="1"/>
  <c r="E81" i="7" l="1"/>
  <c r="K81" i="7" s="1"/>
  <c r="B81" i="7"/>
  <c r="D82" i="7" l="1"/>
  <c r="J82" i="7" s="1"/>
  <c r="B82" i="7"/>
  <c r="H81" i="7"/>
  <c r="D83" i="7" l="1"/>
  <c r="J83" i="7" s="1"/>
  <c r="H82" i="7"/>
  <c r="B83" i="7"/>
  <c r="E82" i="7"/>
  <c r="K82" i="7" s="1"/>
  <c r="H83" i="7" l="1"/>
  <c r="D84" i="7"/>
  <c r="J84" i="7" s="1"/>
  <c r="E84" i="7"/>
  <c r="E83" i="7"/>
  <c r="K83" i="7" s="1"/>
  <c r="B84" i="7" l="1"/>
  <c r="K84" i="7"/>
  <c r="H84" i="7"/>
  <c r="D85" i="7"/>
  <c r="J85" i="7" s="1"/>
  <c r="B85" i="7" l="1"/>
  <c r="E85" i="7"/>
  <c r="K85" i="7" s="1"/>
  <c r="D86" i="7" l="1"/>
  <c r="B86" i="7" s="1"/>
  <c r="H86" i="7" s="1"/>
  <c r="H85" i="7"/>
  <c r="J86" i="7" l="1"/>
  <c r="D87" i="7"/>
  <c r="E86" i="7"/>
  <c r="K86" i="7" l="1"/>
  <c r="E87" i="7"/>
</calcChain>
</file>

<file path=xl/sharedStrings.xml><?xml version="1.0" encoding="utf-8"?>
<sst xmlns="http://schemas.openxmlformats.org/spreadsheetml/2006/main" count="340" uniqueCount="156">
  <si>
    <t>Altes Grundkapital</t>
  </si>
  <si>
    <t>Kapitalerhöhung</t>
  </si>
  <si>
    <t>Börsenkurs der alten Aktie</t>
  </si>
  <si>
    <t>Ausgabekurs der neuen Aktie</t>
  </si>
  <si>
    <t>Nennwert der alten Aktie</t>
  </si>
  <si>
    <t>Nennwert der neuen Aktie</t>
  </si>
  <si>
    <t>Dividendenvorteil</t>
  </si>
  <si>
    <t>Euro</t>
  </si>
  <si>
    <t>Erhöhung der Kapitalrücklage</t>
  </si>
  <si>
    <t>Erhöhung des Umlaufvermögens</t>
  </si>
  <si>
    <t>Erhöhung des Grundkapitals</t>
  </si>
  <si>
    <t>Rechnerischer Wert des
Bezugsrechtes</t>
  </si>
  <si>
    <t>Skontofrist</t>
  </si>
  <si>
    <t>Zahlungsziel</t>
  </si>
  <si>
    <t>Kreditbetrag</t>
  </si>
  <si>
    <t>Skontosatz</t>
  </si>
  <si>
    <t>Prozent</t>
  </si>
  <si>
    <t>Tage</t>
  </si>
  <si>
    <t>Kreditkosten</t>
  </si>
  <si>
    <t>Näherungszinssatz</t>
  </si>
  <si>
    <t>Effektiver Jahreszins</t>
  </si>
  <si>
    <t>Wechselsumme</t>
  </si>
  <si>
    <t>Diskontsatz</t>
  </si>
  <si>
    <t>Restlaufzeit</t>
  </si>
  <si>
    <t>Zinssatz</t>
  </si>
  <si>
    <t>Vorschüssige Berechnung der Einzahlungs- und Auszahlungsphase</t>
  </si>
  <si>
    <t>Einzahlung</t>
  </si>
  <si>
    <t>Jahre</t>
  </si>
  <si>
    <t>%</t>
  </si>
  <si>
    <t>q</t>
  </si>
  <si>
    <t>Auszahlung</t>
  </si>
  <si>
    <t>Rate</t>
  </si>
  <si>
    <t>(rot = Eingabefelder)</t>
  </si>
  <si>
    <t>Barwert</t>
  </si>
  <si>
    <t>Einzahlung 1</t>
  </si>
  <si>
    <t>Einzahlungsphase</t>
  </si>
  <si>
    <t>Auszahlungsphase</t>
  </si>
  <si>
    <t>Jahr</t>
  </si>
  <si>
    <t>Kapital zum
Jahresende</t>
  </si>
  <si>
    <t>Zuwachs 
zum Vorjahr</t>
  </si>
  <si>
    <t>Kapital zum
Jahresbeginn</t>
  </si>
  <si>
    <t>Zinsen</t>
  </si>
  <si>
    <t>Nachschüssige Berechnung der Einzahlungs- und Auszahlungsphase</t>
  </si>
  <si>
    <t>Darlehenssumme</t>
  </si>
  <si>
    <t>Gesamtlaufzeit</t>
  </si>
  <si>
    <t>Tilgungsfreie Jahre</t>
  </si>
  <si>
    <t>Auszahlungskurs</t>
  </si>
  <si>
    <t>Rechnerische Annuität 
während der Tilgung</t>
  </si>
  <si>
    <t>Mittlere Darlehenslaufzeit</t>
  </si>
  <si>
    <t>Jährliche Annuität 
in der tilgungsfreien Zeit</t>
  </si>
  <si>
    <t>Verrechnungen</t>
  </si>
  <si>
    <t>Berechnungen im Annuitätendarlehen</t>
  </si>
  <si>
    <r>
      <t xml:space="preserve">Eingabefelder = </t>
    </r>
    <r>
      <rPr>
        <sz val="10"/>
        <color indexed="10"/>
        <rFont val="Arial"/>
        <family val="2"/>
      </rPr>
      <t>rot</t>
    </r>
  </si>
  <si>
    <t>Anzahl der unterjährigen 
Zinsverrechnungen</t>
  </si>
  <si>
    <t>1. Lieferantenkredit</t>
  </si>
  <si>
    <t>2. Wechselkredit</t>
  </si>
  <si>
    <t>3. Kontokorrentkredit</t>
  </si>
  <si>
    <t>Berechnungen bei kurzfristigen Krediten</t>
  </si>
  <si>
    <t>Restschuld</t>
  </si>
  <si>
    <t>Tilgung</t>
  </si>
  <si>
    <t>Summe</t>
  </si>
  <si>
    <t>Tilgungsdarlehen</t>
  </si>
  <si>
    <t>Fälligkeitsdarlehen</t>
  </si>
  <si>
    <t>Darlehen</t>
  </si>
  <si>
    <t>Abrechnungszeitraum</t>
  </si>
  <si>
    <t xml:space="preserve">Effektiver Jahreszins </t>
  </si>
  <si>
    <t>(bei Quartalsabrechnung)</t>
  </si>
  <si>
    <t>Übungen zur Finanzwirtschaft</t>
  </si>
  <si>
    <t>Kostenvergleichsrechnung</t>
  </si>
  <si>
    <t>Anschaffungswert</t>
  </si>
  <si>
    <t>Restwert</t>
  </si>
  <si>
    <t>Nutzungsdauer (in Jahren)</t>
  </si>
  <si>
    <t>Variable Stückkkosten</t>
  </si>
  <si>
    <t>Kalkulationszinssatz</t>
  </si>
  <si>
    <t>Anlage A</t>
  </si>
  <si>
    <t>Anlage B</t>
  </si>
  <si>
    <t>Anlage C</t>
  </si>
  <si>
    <t>Anlage D</t>
  </si>
  <si>
    <t>Fixe Kosten</t>
  </si>
  <si>
    <t>Gesamtkosten A</t>
  </si>
  <si>
    <t>Gesamtkosten B</t>
  </si>
  <si>
    <t>Gesamtkosten C</t>
  </si>
  <si>
    <t>Gesamtkosten D</t>
  </si>
  <si>
    <t>Produzierte Mengen</t>
  </si>
  <si>
    <t>Berechnung der Kapitalerhöhung durch Ausgabe von jungen Aktien</t>
  </si>
  <si>
    <t>Gewinnvergleichsrechnung</t>
  </si>
  <si>
    <t>Verkaufspreis</t>
  </si>
  <si>
    <t>Gewinn A</t>
  </si>
  <si>
    <t>Gewinn B</t>
  </si>
  <si>
    <t>Gewinn C</t>
  </si>
  <si>
    <t>Gewinn D</t>
  </si>
  <si>
    <t>Verkaufte Mengen</t>
  </si>
  <si>
    <t>Rentabilitätsvergleichsrechnung</t>
  </si>
  <si>
    <t>Amortisationsvergleichsrechnung</t>
  </si>
  <si>
    <t>Kapitalwertberechnung</t>
  </si>
  <si>
    <t>Dynamische Amortisationsrechnung</t>
  </si>
  <si>
    <t>Investitionskosten</t>
  </si>
  <si>
    <t>Überschuß 1. Jahr</t>
  </si>
  <si>
    <t>Überschuß 2. Jahr</t>
  </si>
  <si>
    <t>Überschuß 3. Jahr</t>
  </si>
  <si>
    <t>Überschuß 4. Jahr</t>
  </si>
  <si>
    <t>Überschuß 5. Jahr</t>
  </si>
  <si>
    <t>Kalkulationszinsfuß</t>
  </si>
  <si>
    <t>Kapitalwert</t>
  </si>
  <si>
    <t>Gewinn</t>
  </si>
  <si>
    <t>Gesellschafter</t>
  </si>
  <si>
    <t>Kapitalanteil</t>
  </si>
  <si>
    <t xml:space="preserve">Verzinsung </t>
  </si>
  <si>
    <t>Restgewinn</t>
  </si>
  <si>
    <t>Gewinnanteil</t>
  </si>
  <si>
    <t>A</t>
  </si>
  <si>
    <t>B</t>
  </si>
  <si>
    <t>C</t>
  </si>
  <si>
    <t>Nutzwertanalyse</t>
  </si>
  <si>
    <t>(Teil-)Ziele</t>
  </si>
  <si>
    <t>Alternative 1</t>
  </si>
  <si>
    <t>Alternative 2</t>
  </si>
  <si>
    <t>Alternative 3</t>
  </si>
  <si>
    <t>Gewichtung</t>
  </si>
  <si>
    <t>Portfolioanalyse</t>
  </si>
  <si>
    <t>SGF</t>
  </si>
  <si>
    <t>Marktwachstum</t>
  </si>
  <si>
    <t>Marktanteil</t>
  </si>
  <si>
    <t>Umsatz</t>
  </si>
  <si>
    <t>0 - 10 %</t>
  </si>
  <si>
    <t>0 - 20 %</t>
  </si>
  <si>
    <t>SGF 1</t>
  </si>
  <si>
    <t>SGF 2</t>
  </si>
  <si>
    <t>SGF 3</t>
  </si>
  <si>
    <t>SGF 4</t>
  </si>
  <si>
    <t>SGF 5</t>
  </si>
  <si>
    <t>SGF 6</t>
  </si>
  <si>
    <t>SGF 7</t>
  </si>
  <si>
    <r>
      <t xml:space="preserve">Eingabefelder = </t>
    </r>
    <r>
      <rPr>
        <sz val="9"/>
        <color indexed="10"/>
        <rFont val="Arial"/>
        <family val="2"/>
      </rPr>
      <t>rot</t>
    </r>
  </si>
  <si>
    <r>
      <t>ODER</t>
    </r>
    <r>
      <rPr>
        <sz val="9"/>
        <rFont val="Arial"/>
        <family val="2"/>
      </rPr>
      <t xml:space="preserve"> Dividendennachteil</t>
    </r>
  </si>
  <si>
    <t>Versuchszinssatz 1</t>
  </si>
  <si>
    <t>Versuchszinssatz 2</t>
  </si>
  <si>
    <t>(Bedingung: positiver Kapitalwert)</t>
  </si>
  <si>
    <t>(Bedingung: negativer Kapitalwert)</t>
  </si>
  <si>
    <t>Versuchszinssatz</t>
  </si>
  <si>
    <t>Kapitalwerte</t>
  </si>
  <si>
    <t>Wertetabelle</t>
  </si>
  <si>
    <t>Interner Zinsfuß</t>
  </si>
  <si>
    <t>Interne Zinsfußmethode (Näherungsverfahren)</t>
  </si>
  <si>
    <t xml:space="preserve">   www.dioskur.de</t>
  </si>
  <si>
    <t>OHG-Gewinnverteilung</t>
  </si>
  <si>
    <t>D</t>
  </si>
  <si>
    <t>E</t>
  </si>
  <si>
    <r>
      <t xml:space="preserve">Eingabefelder = </t>
    </r>
    <r>
      <rPr>
        <sz val="10"/>
        <color rgb="FFFF0000"/>
        <rFont val="Arial"/>
        <family val="2"/>
      </rPr>
      <t>rot</t>
    </r>
  </si>
  <si>
    <t>Laufzeit</t>
  </si>
  <si>
    <t>Aufgerundete Annuität</t>
  </si>
  <si>
    <t>Kumulierte Werte</t>
  </si>
  <si>
    <t>Summe:</t>
  </si>
  <si>
    <t>Annuitätendarlehen (mathematische Annuität)</t>
  </si>
  <si>
    <t>Annuitätendarlehen (Praktikermethode - aufgerundete Annuität)</t>
  </si>
  <si>
    <t>Mathematische Annuität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</si>
</sst>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D_M_-;\-* #,##0.00\ _D_M_-;_-* &quot;-&quot;??\ _D_M_-;_-@_-"/>
    <numFmt numFmtId="165" formatCode="_-* #,##0\ _D_M_-;\-* #,##0\ _D_M_-;_-* &quot;-&quot;??\ _D_M_-;_-@_-"/>
    <numFmt numFmtId="166" formatCode="#,##0.00_ ;\-#,##0.00\ "/>
    <numFmt numFmtId="167" formatCode="0.000000"/>
    <numFmt numFmtId="168" formatCode="_-* #,##0.0000\ _D_M_-;\-* #,##0.0000\ _D_M_-;_-* &quot;-&quot;??\ _D_M_-;_-@_-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u/>
      <sz val="9"/>
      <color indexed="12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b/>
      <sz val="9"/>
      <color indexed="10"/>
      <name val="Arial"/>
      <family val="2"/>
    </font>
    <font>
      <b/>
      <sz val="9"/>
      <color indexed="62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4" fontId="24" fillId="0" borderId="0" applyFont="0" applyFill="0" applyBorder="0" applyAlignment="0" applyProtection="0"/>
  </cellStyleXfs>
  <cellXfs count="240">
    <xf numFmtId="0" fontId="0" fillId="0" borderId="0" xfId="0"/>
    <xf numFmtId="164" fontId="0" fillId="0" borderId="0" xfId="1" applyFont="1"/>
    <xf numFmtId="164" fontId="3" fillId="0" borderId="0" xfId="1" applyFont="1" applyBorder="1" applyProtection="1">
      <protection locked="0"/>
    </xf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0" fillId="0" borderId="4" xfId="0" applyNumberFormat="1" applyBorder="1"/>
    <xf numFmtId="164" fontId="0" fillId="0" borderId="4" xfId="1" applyFont="1" applyBorder="1"/>
    <xf numFmtId="0" fontId="0" fillId="0" borderId="5" xfId="0" applyBorder="1"/>
    <xf numFmtId="164" fontId="0" fillId="0" borderId="5" xfId="0" applyNumberFormat="1" applyBorder="1"/>
    <xf numFmtId="164" fontId="0" fillId="0" borderId="1" xfId="1" applyFont="1" applyBorder="1"/>
    <xf numFmtId="164" fontId="0" fillId="0" borderId="5" xfId="1" applyFont="1" applyBorder="1"/>
    <xf numFmtId="164" fontId="0" fillId="0" borderId="6" xfId="1" applyFont="1" applyBorder="1"/>
    <xf numFmtId="164" fontId="0" fillId="0" borderId="6" xfId="0" applyNumberFormat="1" applyBorder="1"/>
    <xf numFmtId="0" fontId="0" fillId="0" borderId="6" xfId="0" applyBorder="1"/>
    <xf numFmtId="0" fontId="7" fillId="0" borderId="0" xfId="3" applyFont="1" applyAlignment="1" applyProtection="1"/>
    <xf numFmtId="0" fontId="8" fillId="0" borderId="0" xfId="0" applyFont="1"/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3" xfId="1" applyFont="1" applyBorder="1"/>
    <xf numFmtId="164" fontId="8" fillId="0" borderId="2" xfId="1" applyFont="1" applyBorder="1"/>
    <xf numFmtId="164" fontId="8" fillId="0" borderId="6" xfId="1" applyFont="1" applyBorder="1"/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164" fontId="3" fillId="0" borderId="1" xfId="1" applyFont="1" applyBorder="1" applyProtection="1">
      <protection locked="0"/>
    </xf>
    <xf numFmtId="164" fontId="3" fillId="0" borderId="5" xfId="1" applyFont="1" applyBorder="1" applyProtection="1">
      <protection locked="0"/>
    </xf>
    <xf numFmtId="164" fontId="3" fillId="0" borderId="4" xfId="1" applyFont="1" applyBorder="1" applyProtection="1">
      <protection locked="0"/>
    </xf>
    <xf numFmtId="0" fontId="0" fillId="0" borderId="9" xfId="0" applyBorder="1" applyAlignment="1">
      <alignment horizontal="center"/>
    </xf>
    <xf numFmtId="164" fontId="0" fillId="0" borderId="0" xfId="0" applyNumberFormat="1" applyBorder="1"/>
    <xf numFmtId="164" fontId="3" fillId="0" borderId="7" xfId="1" applyFont="1" applyBorder="1" applyProtection="1">
      <protection locked="0"/>
    </xf>
    <xf numFmtId="164" fontId="0" fillId="0" borderId="3" xfId="0" applyNumberFormat="1" applyBorder="1"/>
    <xf numFmtId="0" fontId="0" fillId="0" borderId="0" xfId="0" applyFill="1"/>
    <xf numFmtId="0" fontId="0" fillId="0" borderId="0" xfId="0" applyFill="1" applyAlignment="1">
      <alignment vertical="center"/>
    </xf>
    <xf numFmtId="0" fontId="9" fillId="2" borderId="0" xfId="3" applyFont="1" applyFill="1" applyAlignment="1" applyProtection="1"/>
    <xf numFmtId="166" fontId="3" fillId="0" borderId="0" xfId="1" applyNumberFormat="1" applyFont="1" applyAlignment="1" applyProtection="1">
      <alignment horizontal="right"/>
      <protection locked="0"/>
    </xf>
    <xf numFmtId="164" fontId="8" fillId="0" borderId="10" xfId="1" applyFont="1" applyBorder="1"/>
    <xf numFmtId="0" fontId="9" fillId="0" borderId="0" xfId="3" applyFont="1" applyFill="1" applyAlignment="1" applyProtection="1"/>
    <xf numFmtId="164" fontId="3" fillId="0" borderId="0" xfId="1" applyFont="1" applyAlignment="1" applyProtection="1">
      <alignment horizontal="right"/>
      <protection locked="0"/>
    </xf>
    <xf numFmtId="164" fontId="3" fillId="0" borderId="6" xfId="1" applyFont="1" applyBorder="1" applyProtection="1">
      <protection locked="0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" xfId="0" applyBorder="1" applyAlignment="1">
      <alignment horizontal="right"/>
    </xf>
    <xf numFmtId="0" fontId="10" fillId="0" borderId="0" xfId="0" applyFont="1"/>
    <xf numFmtId="0" fontId="2" fillId="0" borderId="0" xfId="0" applyFont="1" applyFill="1" applyBorder="1" applyProtection="1">
      <protection hidden="1"/>
    </xf>
    <xf numFmtId="0" fontId="12" fillId="0" borderId="3" xfId="0" applyFont="1" applyFill="1" applyBorder="1" applyAlignment="1" applyProtection="1">
      <alignment horizontal="center"/>
      <protection hidden="1"/>
    </xf>
    <xf numFmtId="0" fontId="12" fillId="0" borderId="9" xfId="0" applyFont="1" applyFill="1" applyBorder="1" applyAlignment="1" applyProtection="1">
      <alignment horizontal="center"/>
      <protection hidden="1"/>
    </xf>
    <xf numFmtId="0" fontId="13" fillId="0" borderId="5" xfId="0" applyFont="1" applyFill="1" applyBorder="1" applyAlignment="1" applyProtection="1">
      <alignment horizontal="center"/>
      <protection hidden="1"/>
    </xf>
    <xf numFmtId="44" fontId="13" fillId="0" borderId="11" xfId="2" applyFont="1" applyFill="1" applyBorder="1" applyProtection="1">
      <protection hidden="1"/>
    </xf>
    <xf numFmtId="44" fontId="13" fillId="0" borderId="5" xfId="2" applyFont="1" applyFill="1" applyBorder="1" applyProtection="1">
      <protection hidden="1"/>
    </xf>
    <xf numFmtId="44" fontId="13" fillId="0" borderId="9" xfId="2" applyFont="1" applyFill="1" applyBorder="1" applyProtection="1">
      <protection hidden="1"/>
    </xf>
    <xf numFmtId="44" fontId="13" fillId="0" borderId="3" xfId="2" applyFont="1" applyFill="1" applyBorder="1" applyProtection="1">
      <protection hidden="1"/>
    </xf>
    <xf numFmtId="167" fontId="13" fillId="0" borderId="3" xfId="0" applyNumberFormat="1" applyFont="1" applyBorder="1" applyAlignment="1">
      <alignment horizontal="center"/>
    </xf>
    <xf numFmtId="0" fontId="9" fillId="2" borderId="0" xfId="0" applyFont="1" applyFill="1"/>
    <xf numFmtId="0" fontId="14" fillId="2" borderId="0" xfId="0" applyFont="1" applyFill="1"/>
    <xf numFmtId="0" fontId="14" fillId="0" borderId="0" xfId="0" applyFont="1"/>
    <xf numFmtId="164" fontId="15" fillId="2" borderId="0" xfId="1" applyFont="1" applyFill="1"/>
    <xf numFmtId="0" fontId="15" fillId="2" borderId="0" xfId="0" applyFont="1" applyFill="1"/>
    <xf numFmtId="0" fontId="15" fillId="0" borderId="0" xfId="0" applyFont="1"/>
    <xf numFmtId="0" fontId="16" fillId="0" borderId="0" xfId="3" applyFont="1" applyAlignment="1" applyProtection="1"/>
    <xf numFmtId="164" fontId="13" fillId="0" borderId="0" xfId="1" applyFont="1"/>
    <xf numFmtId="0" fontId="13" fillId="0" borderId="0" xfId="0" applyFont="1"/>
    <xf numFmtId="0" fontId="13" fillId="0" borderId="12" xfId="0" applyFont="1" applyBorder="1"/>
    <xf numFmtId="164" fontId="11" fillId="0" borderId="13" xfId="1" applyFont="1" applyBorder="1" applyProtection="1">
      <protection locked="0"/>
    </xf>
    <xf numFmtId="0" fontId="13" fillId="0" borderId="14" xfId="0" applyFont="1" applyBorder="1"/>
    <xf numFmtId="0" fontId="13" fillId="0" borderId="15" xfId="0" applyFont="1" applyBorder="1"/>
    <xf numFmtId="164" fontId="11" fillId="0" borderId="0" xfId="1" applyFont="1" applyBorder="1" applyProtection="1">
      <protection locked="0"/>
    </xf>
    <xf numFmtId="0" fontId="13" fillId="0" borderId="16" xfId="0" applyFont="1" applyBorder="1"/>
    <xf numFmtId="164" fontId="13" fillId="0" borderId="0" xfId="1" applyFont="1" applyBorder="1"/>
    <xf numFmtId="0" fontId="13" fillId="0" borderId="17" xfId="0" applyFont="1" applyBorder="1"/>
    <xf numFmtId="164" fontId="13" fillId="0" borderId="18" xfId="1" applyFont="1" applyBorder="1"/>
    <xf numFmtId="0" fontId="13" fillId="0" borderId="19" xfId="0" applyFont="1" applyBorder="1"/>
    <xf numFmtId="164" fontId="13" fillId="0" borderId="13" xfId="1" applyFont="1" applyBorder="1"/>
    <xf numFmtId="165" fontId="11" fillId="0" borderId="0" xfId="1" applyNumberFormat="1" applyFont="1"/>
    <xf numFmtId="164" fontId="11" fillId="0" borderId="0" xfId="1" applyFont="1" applyProtection="1">
      <protection locked="0"/>
    </xf>
    <xf numFmtId="0" fontId="18" fillId="0" borderId="0" xfId="0" applyFont="1"/>
    <xf numFmtId="0" fontId="13" fillId="0" borderId="20" xfId="0" applyFont="1" applyBorder="1" applyAlignment="1">
      <alignment wrapText="1"/>
    </xf>
    <xf numFmtId="164" fontId="13" fillId="0" borderId="21" xfId="1" applyFont="1" applyBorder="1"/>
    <xf numFmtId="0" fontId="13" fillId="0" borderId="22" xfId="0" applyFont="1" applyBorder="1"/>
    <xf numFmtId="0" fontId="12" fillId="2" borderId="3" xfId="0" applyFont="1" applyFill="1" applyBorder="1"/>
    <xf numFmtId="10" fontId="11" fillId="0" borderId="23" xfId="0" applyNumberFormat="1" applyFont="1" applyBorder="1" applyAlignment="1" applyProtection="1">
      <alignment horizontal="center"/>
      <protection locked="0"/>
    </xf>
    <xf numFmtId="10" fontId="11" fillId="0" borderId="4" xfId="0" applyNumberFormat="1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10" fontId="13" fillId="0" borderId="1" xfId="0" applyNumberFormat="1" applyFont="1" applyBorder="1" applyAlignment="1">
      <alignment horizontal="center"/>
    </xf>
    <xf numFmtId="10" fontId="13" fillId="0" borderId="6" xfId="0" applyNumberFormat="1" applyFont="1" applyBorder="1" applyAlignment="1">
      <alignment horizontal="center"/>
    </xf>
    <xf numFmtId="10" fontId="13" fillId="0" borderId="7" xfId="0" applyNumberFormat="1" applyFont="1" applyBorder="1" applyAlignment="1">
      <alignment horizontal="center"/>
    </xf>
    <xf numFmtId="10" fontId="13" fillId="0" borderId="4" xfId="0" applyNumberFormat="1" applyFont="1" applyBorder="1" applyAlignment="1">
      <alignment horizontal="center"/>
    </xf>
    <xf numFmtId="10" fontId="13" fillId="0" borderId="2" xfId="0" applyNumberFormat="1" applyFont="1" applyBorder="1" applyAlignment="1">
      <alignment horizontal="center"/>
    </xf>
    <xf numFmtId="10" fontId="13" fillId="0" borderId="23" xfId="0" applyNumberFormat="1" applyFont="1" applyBorder="1" applyAlignment="1">
      <alignment horizontal="center"/>
    </xf>
    <xf numFmtId="10" fontId="13" fillId="0" borderId="8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8" fontId="13" fillId="0" borderId="3" xfId="1" applyNumberFormat="1" applyFont="1" applyBorder="1"/>
    <xf numFmtId="167" fontId="13" fillId="0" borderId="0" xfId="0" applyNumberFormat="1" applyFont="1" applyBorder="1"/>
    <xf numFmtId="168" fontId="12" fillId="0" borderId="3" xfId="0" applyNumberFormat="1" applyFont="1" applyBorder="1"/>
    <xf numFmtId="0" fontId="12" fillId="0" borderId="2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4" fontId="12" fillId="0" borderId="4" xfId="2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12" fillId="0" borderId="6" xfId="2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164" fontId="11" fillId="0" borderId="6" xfId="1" applyFont="1" applyBorder="1" applyAlignment="1" applyProtection="1">
      <alignment horizontal="center"/>
      <protection locked="0"/>
    </xf>
    <xf numFmtId="44" fontId="11" fillId="0" borderId="6" xfId="2" applyFont="1" applyBorder="1" applyProtection="1">
      <protection locked="0"/>
    </xf>
    <xf numFmtId="0" fontId="13" fillId="0" borderId="3" xfId="0" applyFont="1" applyBorder="1" applyAlignment="1">
      <alignment horizontal="center"/>
    </xf>
    <xf numFmtId="164" fontId="11" fillId="0" borderId="3" xfId="1" applyFont="1" applyBorder="1" applyAlignment="1" applyProtection="1">
      <alignment horizontal="center"/>
      <protection locked="0"/>
    </xf>
    <xf numFmtId="44" fontId="11" fillId="0" borderId="3" xfId="2" applyFont="1" applyBorder="1" applyProtection="1">
      <protection locked="0"/>
    </xf>
    <xf numFmtId="0" fontId="13" fillId="0" borderId="23" xfId="0" applyFont="1" applyBorder="1"/>
    <xf numFmtId="0" fontId="12" fillId="0" borderId="24" xfId="0" applyFont="1" applyBorder="1"/>
    <xf numFmtId="0" fontId="13" fillId="0" borderId="25" xfId="0" applyFont="1" applyBorder="1"/>
    <xf numFmtId="0" fontId="13" fillId="0" borderId="1" xfId="0" applyFont="1" applyBorder="1"/>
    <xf numFmtId="0" fontId="19" fillId="0" borderId="0" xfId="0" applyFont="1" applyBorder="1" applyProtection="1">
      <protection locked="0"/>
    </xf>
    <xf numFmtId="0" fontId="13" fillId="0" borderId="11" xfId="0" applyFont="1" applyBorder="1"/>
    <xf numFmtId="0" fontId="13" fillId="0" borderId="2" xfId="0" applyFont="1" applyBorder="1"/>
    <xf numFmtId="0" fontId="12" fillId="0" borderId="10" xfId="0" applyFont="1" applyBorder="1" applyProtection="1"/>
    <xf numFmtId="0" fontId="13" fillId="0" borderId="26" xfId="0" applyFont="1" applyBorder="1"/>
    <xf numFmtId="0" fontId="19" fillId="0" borderId="0" xfId="0" applyFont="1"/>
    <xf numFmtId="0" fontId="12" fillId="0" borderId="23" xfId="0" applyFont="1" applyBorder="1"/>
    <xf numFmtId="164" fontId="12" fillId="0" borderId="24" xfId="1" applyFont="1" applyBorder="1"/>
    <xf numFmtId="0" fontId="13" fillId="0" borderId="0" xfId="0" applyFont="1" applyBorder="1"/>
    <xf numFmtId="0" fontId="12" fillId="0" borderId="2" xfId="0" applyFont="1" applyBorder="1"/>
    <xf numFmtId="164" fontId="12" fillId="0" borderId="10" xfId="0" applyNumberFormat="1" applyFont="1" applyBorder="1"/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3" fillId="0" borderId="4" xfId="0" applyFont="1" applyBorder="1"/>
    <xf numFmtId="164" fontId="13" fillId="0" borderId="4" xfId="0" applyNumberFormat="1" applyFont="1" applyBorder="1"/>
    <xf numFmtId="164" fontId="13" fillId="0" borderId="23" xfId="1" applyFont="1" applyBorder="1"/>
    <xf numFmtId="164" fontId="13" fillId="0" borderId="4" xfId="1" applyFont="1" applyBorder="1"/>
    <xf numFmtId="0" fontId="13" fillId="0" borderId="5" xfId="0" applyFont="1" applyBorder="1"/>
    <xf numFmtId="164" fontId="13" fillId="0" borderId="5" xfId="0" applyNumberFormat="1" applyFont="1" applyBorder="1"/>
    <xf numFmtId="164" fontId="13" fillId="0" borderId="1" xfId="1" applyFont="1" applyBorder="1"/>
    <xf numFmtId="164" fontId="13" fillId="0" borderId="5" xfId="1" applyFont="1" applyBorder="1"/>
    <xf numFmtId="164" fontId="13" fillId="0" borderId="2" xfId="1" applyFont="1" applyBorder="1"/>
    <xf numFmtId="164" fontId="13" fillId="0" borderId="6" xfId="1" applyFont="1" applyBorder="1"/>
    <xf numFmtId="164" fontId="13" fillId="0" borderId="6" xfId="0" applyNumberFormat="1" applyFont="1" applyBorder="1"/>
    <xf numFmtId="0" fontId="13" fillId="0" borderId="6" xfId="0" applyFont="1" applyBorder="1"/>
    <xf numFmtId="0" fontId="12" fillId="0" borderId="10" xfId="0" applyFont="1" applyBorder="1"/>
    <xf numFmtId="0" fontId="12" fillId="0" borderId="0" xfId="0" applyFont="1"/>
    <xf numFmtId="165" fontId="11" fillId="0" borderId="0" xfId="1" applyNumberFormat="1" applyFont="1" applyBorder="1" applyProtection="1">
      <protection locked="0"/>
    </xf>
    <xf numFmtId="0" fontId="13" fillId="0" borderId="27" xfId="0" applyFont="1" applyBorder="1"/>
    <xf numFmtId="0" fontId="13" fillId="0" borderId="28" xfId="0" applyFont="1" applyBorder="1"/>
    <xf numFmtId="0" fontId="13" fillId="0" borderId="29" xfId="0" applyFont="1" applyBorder="1" applyAlignment="1">
      <alignment wrapText="1"/>
    </xf>
    <xf numFmtId="165" fontId="11" fillId="0" borderId="18" xfId="1" applyNumberFormat="1" applyFont="1" applyBorder="1" applyProtection="1">
      <protection locked="0"/>
    </xf>
    <xf numFmtId="0" fontId="13" fillId="0" borderId="27" xfId="0" applyFont="1" applyBorder="1" applyAlignment="1">
      <alignment wrapText="1"/>
    </xf>
    <xf numFmtId="0" fontId="13" fillId="0" borderId="28" xfId="0" applyFont="1" applyBorder="1" applyAlignment="1">
      <alignment wrapText="1"/>
    </xf>
    <xf numFmtId="164" fontId="13" fillId="0" borderId="0" xfId="0" applyNumberFormat="1" applyFont="1"/>
    <xf numFmtId="0" fontId="13" fillId="0" borderId="29" xfId="0" applyFont="1" applyBorder="1"/>
    <xf numFmtId="164" fontId="14" fillId="2" borderId="0" xfId="1" applyFont="1" applyFill="1"/>
    <xf numFmtId="0" fontId="13" fillId="0" borderId="0" xfId="0" applyFont="1" applyAlignment="1">
      <alignment horizontal="right"/>
    </xf>
    <xf numFmtId="164" fontId="11" fillId="0" borderId="0" xfId="1" applyFont="1" applyAlignment="1" applyProtection="1">
      <alignment horizontal="right"/>
      <protection locked="0"/>
    </xf>
    <xf numFmtId="0" fontId="13" fillId="0" borderId="4" xfId="0" applyFont="1" applyBorder="1" applyAlignment="1">
      <alignment horizontal="right"/>
    </xf>
    <xf numFmtId="164" fontId="11" fillId="0" borderId="4" xfId="1" applyFont="1" applyBorder="1" applyProtection="1">
      <protection locked="0"/>
    </xf>
    <xf numFmtId="0" fontId="13" fillId="0" borderId="6" xfId="0" applyFont="1" applyBorder="1" applyAlignment="1">
      <alignment horizontal="right"/>
    </xf>
    <xf numFmtId="164" fontId="11" fillId="0" borderId="6" xfId="1" applyFont="1" applyBorder="1" applyProtection="1">
      <protection locked="0"/>
    </xf>
    <xf numFmtId="0" fontId="13" fillId="0" borderId="5" xfId="0" applyFont="1" applyBorder="1" applyAlignment="1">
      <alignment horizontal="right"/>
    </xf>
    <xf numFmtId="164" fontId="11" fillId="0" borderId="5" xfId="1" applyFont="1" applyBorder="1" applyProtection="1">
      <protection locked="0"/>
    </xf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0" xfId="0" applyFill="1" applyBorder="1"/>
    <xf numFmtId="0" fontId="0" fillId="2" borderId="16" xfId="0" applyFill="1" applyBorder="1"/>
    <xf numFmtId="0" fontId="0" fillId="2" borderId="18" xfId="0" applyFill="1" applyBorder="1"/>
    <xf numFmtId="0" fontId="0" fillId="2" borderId="19" xfId="0" applyFill="1" applyBorder="1"/>
    <xf numFmtId="164" fontId="13" fillId="0" borderId="0" xfId="1" applyFont="1" applyProtection="1"/>
    <xf numFmtId="0" fontId="13" fillId="0" borderId="0" xfId="0" applyFont="1" applyProtection="1"/>
    <xf numFmtId="0" fontId="17" fillId="2" borderId="0" xfId="3" applyFont="1" applyFill="1" applyAlignment="1" applyProtection="1"/>
    <xf numFmtId="0" fontId="12" fillId="0" borderId="4" xfId="0" applyFont="1" applyBorder="1" applyAlignment="1" applyProtection="1">
      <alignment horizontal="center"/>
    </xf>
    <xf numFmtId="0" fontId="13" fillId="0" borderId="4" xfId="0" applyFont="1" applyBorder="1" applyAlignment="1" applyProtection="1">
      <alignment horizontal="right"/>
    </xf>
    <xf numFmtId="0" fontId="13" fillId="0" borderId="6" xfId="0" applyFont="1" applyBorder="1" applyAlignment="1" applyProtection="1">
      <alignment horizontal="right"/>
    </xf>
    <xf numFmtId="0" fontId="13" fillId="0" borderId="5" xfId="0" applyFont="1" applyBorder="1" applyAlignment="1" applyProtection="1">
      <alignment horizontal="right"/>
    </xf>
    <xf numFmtId="164" fontId="11" fillId="0" borderId="0" xfId="1" applyFont="1" applyProtection="1"/>
    <xf numFmtId="0" fontId="13" fillId="0" borderId="3" xfId="0" applyFont="1" applyBorder="1" applyProtection="1"/>
    <xf numFmtId="164" fontId="13" fillId="0" borderId="3" xfId="0" applyNumberFormat="1" applyFont="1" applyBorder="1" applyAlignment="1" applyProtection="1">
      <alignment horizontal="center"/>
    </xf>
    <xf numFmtId="0" fontId="13" fillId="0" borderId="5" xfId="0" applyFont="1" applyBorder="1" applyProtection="1"/>
    <xf numFmtId="164" fontId="13" fillId="0" borderId="4" xfId="1" applyFont="1" applyBorder="1" applyProtection="1"/>
    <xf numFmtId="164" fontId="13" fillId="0" borderId="5" xfId="1" applyFont="1" applyBorder="1" applyProtection="1"/>
    <xf numFmtId="0" fontId="13" fillId="0" borderId="6" xfId="0" applyFont="1" applyBorder="1" applyProtection="1"/>
    <xf numFmtId="164" fontId="13" fillId="0" borderId="6" xfId="1" applyFont="1" applyBorder="1" applyProtection="1"/>
    <xf numFmtId="164" fontId="13" fillId="0" borderId="3" xfId="0" applyNumberFormat="1" applyFont="1" applyBorder="1" applyProtection="1"/>
    <xf numFmtId="0" fontId="13" fillId="0" borderId="4" xfId="0" applyFont="1" applyBorder="1" applyProtection="1"/>
    <xf numFmtId="0" fontId="13" fillId="0" borderId="23" xfId="0" applyFont="1" applyBorder="1" applyProtection="1"/>
    <xf numFmtId="0" fontId="13" fillId="0" borderId="25" xfId="0" applyFont="1" applyBorder="1" applyProtection="1"/>
    <xf numFmtId="0" fontId="13" fillId="0" borderId="1" xfId="0" applyFont="1" applyBorder="1" applyProtection="1"/>
    <xf numFmtId="0" fontId="13" fillId="0" borderId="11" xfId="0" applyFont="1" applyBorder="1" applyProtection="1"/>
    <xf numFmtId="0" fontId="13" fillId="0" borderId="0" xfId="0" applyFont="1" applyBorder="1" applyAlignment="1">
      <alignment horizontal="right"/>
    </xf>
    <xf numFmtId="0" fontId="20" fillId="2" borderId="17" xfId="0" applyFont="1" applyFill="1" applyBorder="1"/>
    <xf numFmtId="0" fontId="2" fillId="0" borderId="7" xfId="0" applyFont="1" applyFill="1" applyBorder="1" applyAlignment="1" applyProtection="1">
      <alignment horizontal="right"/>
      <protection hidden="1"/>
    </xf>
    <xf numFmtId="0" fontId="2" fillId="0" borderId="9" xfId="0" applyFont="1" applyFill="1" applyBorder="1" applyAlignment="1" applyProtection="1">
      <alignment horizontal="right"/>
      <protection hidden="1"/>
    </xf>
    <xf numFmtId="0" fontId="0" fillId="0" borderId="0" xfId="0" applyBorder="1"/>
    <xf numFmtId="0" fontId="8" fillId="0" borderId="0" xfId="0" applyFont="1" applyFill="1" applyBorder="1" applyProtection="1">
      <protection hidden="1"/>
    </xf>
    <xf numFmtId="0" fontId="8" fillId="0" borderId="0" xfId="0" applyFont="1" applyFill="1"/>
    <xf numFmtId="44" fontId="21" fillId="0" borderId="3" xfId="2" applyFont="1" applyFill="1" applyBorder="1" applyProtection="1">
      <protection locked="0" hidden="1"/>
    </xf>
    <xf numFmtId="0" fontId="8" fillId="0" borderId="0" xfId="0" applyFont="1" applyFill="1" applyBorder="1" applyAlignment="1" applyProtection="1">
      <alignment horizontal="center"/>
      <protection hidden="1"/>
    </xf>
    <xf numFmtId="10" fontId="21" fillId="0" borderId="3" xfId="4" applyNumberFormat="1" applyFont="1" applyFill="1" applyBorder="1" applyProtection="1">
      <protection locked="0" hidden="1"/>
    </xf>
    <xf numFmtId="0" fontId="2" fillId="0" borderId="0" xfId="0" applyFont="1" applyFill="1"/>
    <xf numFmtId="44" fontId="21" fillId="0" borderId="11" xfId="2" applyFont="1" applyFill="1" applyBorder="1" applyProtection="1">
      <protection locked="0" hidden="1"/>
    </xf>
    <xf numFmtId="0" fontId="22" fillId="0" borderId="3" xfId="0" applyFont="1" applyFill="1" applyBorder="1" applyAlignment="1" applyProtection="1">
      <alignment horizontal="center"/>
      <protection hidden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5" fillId="0" borderId="0" xfId="0" applyFont="1"/>
    <xf numFmtId="43" fontId="25" fillId="0" borderId="0" xfId="0" applyNumberFormat="1" applyFont="1"/>
    <xf numFmtId="164" fontId="23" fillId="0" borderId="0" xfId="1" applyFont="1" applyProtection="1">
      <protection locked="0" hidden="1"/>
    </xf>
    <xf numFmtId="0" fontId="2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2" fillId="0" borderId="3" xfId="0" applyFont="1" applyBorder="1" applyAlignment="1" applyProtection="1">
      <alignment horizontal="center"/>
      <protection hidden="1"/>
    </xf>
    <xf numFmtId="0" fontId="12" fillId="0" borderId="8" xfId="0" applyFont="1" applyBorder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44" fontId="1" fillId="0" borderId="3" xfId="5" applyFont="1" applyBorder="1" applyProtection="1">
      <protection hidden="1"/>
    </xf>
    <xf numFmtId="44" fontId="1" fillId="0" borderId="3" xfId="0" applyNumberFormat="1" applyFont="1" applyBorder="1" applyProtection="1">
      <protection hidden="1"/>
    </xf>
    <xf numFmtId="44" fontId="1" fillId="0" borderId="0" xfId="5" applyFont="1" applyProtection="1">
      <protection hidden="1"/>
    </xf>
    <xf numFmtId="44" fontId="2" fillId="0" borderId="6" xfId="5" applyFont="1" applyBorder="1" applyProtection="1">
      <protection hidden="1"/>
    </xf>
    <xf numFmtId="0" fontId="15" fillId="0" borderId="0" xfId="0" applyFont="1" applyProtection="1">
      <protection hidden="1"/>
    </xf>
    <xf numFmtId="44" fontId="2" fillId="0" borderId="3" xfId="5" applyFont="1" applyBorder="1" applyProtection="1">
      <protection hidden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/>
    </xf>
    <xf numFmtId="164" fontId="13" fillId="0" borderId="2" xfId="1" applyFont="1" applyBorder="1" applyAlignment="1" applyProtection="1">
      <alignment horizontal="left"/>
    </xf>
    <xf numFmtId="164" fontId="13" fillId="0" borderId="26" xfId="1" applyFont="1" applyBorder="1" applyAlignment="1" applyProtection="1">
      <alignment horizontal="left"/>
    </xf>
    <xf numFmtId="0" fontId="12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9" fillId="2" borderId="0" xfId="3" applyFont="1" applyFill="1" applyAlignment="1" applyProtection="1">
      <alignment vertical="center" wrapText="1"/>
    </xf>
    <xf numFmtId="0" fontId="9" fillId="2" borderId="0" xfId="3" applyFont="1" applyFill="1" applyAlignment="1" applyProtection="1"/>
    <xf numFmtId="0" fontId="5" fillId="2" borderId="0" xfId="3" applyFont="1" applyFill="1" applyAlignment="1" applyProtection="1"/>
    <xf numFmtId="0" fontId="2" fillId="0" borderId="3" xfId="0" applyFont="1" applyBorder="1" applyAlignment="1" applyProtection="1">
      <alignment horizontal="center"/>
      <protection hidden="1"/>
    </xf>
    <xf numFmtId="0" fontId="2" fillId="0" borderId="7" xfId="0" applyFont="1" applyFill="1" applyBorder="1" applyAlignment="1" applyProtection="1">
      <alignment horizontal="right"/>
      <protection hidden="1"/>
    </xf>
    <xf numFmtId="0" fontId="2" fillId="0" borderId="9" xfId="0" applyFont="1" applyFill="1" applyBorder="1" applyAlignment="1" applyProtection="1">
      <alignment horizontal="right"/>
      <protection hidden="1"/>
    </xf>
    <xf numFmtId="0" fontId="12" fillId="2" borderId="3" xfId="0" applyFont="1" applyFill="1" applyBorder="1" applyAlignment="1">
      <alignment horizontal="center"/>
    </xf>
    <xf numFmtId="0" fontId="12" fillId="0" borderId="24" xfId="0" applyFont="1" applyBorder="1" applyAlignment="1">
      <alignment horizontal="right"/>
    </xf>
  </cellXfs>
  <cellStyles count="6">
    <cellStyle name="Euro" xfId="2"/>
    <cellStyle name="Komma" xfId="1" builtinId="3"/>
    <cellStyle name="Link" xfId="3" builtinId="8"/>
    <cellStyle name="Prozent" xfId="4" builtinId="5"/>
    <cellStyle name="Standard" xfId="0" builtinId="0"/>
    <cellStyle name="Währung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47346516674543"/>
          <c:y val="4.8638178500215165E-2"/>
          <c:w val="0.80775507982497585"/>
          <c:h val="0.78988401884349435"/>
        </c:manualLayout>
      </c:layout>
      <c:lineChart>
        <c:grouping val="standard"/>
        <c:varyColors val="0"/>
        <c:ser>
          <c:idx val="0"/>
          <c:order val="0"/>
          <c:tx>
            <c:strRef>
              <c:f>'1'!$B$16</c:f>
              <c:strCache>
                <c:ptCount val="1"/>
                <c:pt idx="0">
                  <c:v>Gesamtkosten 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'1'!$A$17:$A$38</c:f>
              <c:numCache>
                <c:formatCode>_-* #,##0.00\ _D_M_-;\-* #,##0.00\ _D_M_-;_-* "-"??\ _D_M_-;_-@_-</c:formatCode>
                <c:ptCount val="22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1500</c:v>
                </c:pt>
                <c:pt idx="11">
                  <c:v>2000</c:v>
                </c:pt>
                <c:pt idx="12">
                  <c:v>2500</c:v>
                </c:pt>
                <c:pt idx="13">
                  <c:v>3000</c:v>
                </c:pt>
                <c:pt idx="14">
                  <c:v>3500</c:v>
                </c:pt>
                <c:pt idx="15">
                  <c:v>4000</c:v>
                </c:pt>
                <c:pt idx="16">
                  <c:v>4500</c:v>
                </c:pt>
                <c:pt idx="17">
                  <c:v>5000</c:v>
                </c:pt>
                <c:pt idx="18">
                  <c:v>2560</c:v>
                </c:pt>
                <c:pt idx="19">
                  <c:v>22350</c:v>
                </c:pt>
                <c:pt idx="20">
                  <c:v>100000</c:v>
                </c:pt>
                <c:pt idx="21">
                  <c:v>120000</c:v>
                </c:pt>
              </c:numCache>
            </c:numRef>
          </c:cat>
          <c:val>
            <c:numRef>
              <c:f>'1'!$B$17:$B$38</c:f>
              <c:numCache>
                <c:formatCode>_-* #,##0.00\ _D_M_-;\-* #,##0.00\ _D_M_-;_-* "-"??\ _D_M_-;_-@_-</c:formatCode>
                <c:ptCount val="22"/>
                <c:pt idx="0">
                  <c:v>13450</c:v>
                </c:pt>
                <c:pt idx="1">
                  <c:v>13580</c:v>
                </c:pt>
                <c:pt idx="2">
                  <c:v>13710</c:v>
                </c:pt>
                <c:pt idx="3">
                  <c:v>13970</c:v>
                </c:pt>
                <c:pt idx="4">
                  <c:v>14100</c:v>
                </c:pt>
                <c:pt idx="5">
                  <c:v>14230</c:v>
                </c:pt>
                <c:pt idx="6">
                  <c:v>14360</c:v>
                </c:pt>
                <c:pt idx="7">
                  <c:v>14490</c:v>
                </c:pt>
                <c:pt idx="8">
                  <c:v>14620</c:v>
                </c:pt>
                <c:pt idx="9">
                  <c:v>14750</c:v>
                </c:pt>
                <c:pt idx="10">
                  <c:v>15400</c:v>
                </c:pt>
                <c:pt idx="11">
                  <c:v>16050</c:v>
                </c:pt>
                <c:pt idx="12">
                  <c:v>16700</c:v>
                </c:pt>
                <c:pt idx="13">
                  <c:v>17350</c:v>
                </c:pt>
                <c:pt idx="14">
                  <c:v>18000</c:v>
                </c:pt>
                <c:pt idx="15">
                  <c:v>18650</c:v>
                </c:pt>
                <c:pt idx="16">
                  <c:v>19300</c:v>
                </c:pt>
                <c:pt idx="17">
                  <c:v>19950</c:v>
                </c:pt>
                <c:pt idx="18">
                  <c:v>16778</c:v>
                </c:pt>
                <c:pt idx="19">
                  <c:v>42505</c:v>
                </c:pt>
                <c:pt idx="20">
                  <c:v>143450</c:v>
                </c:pt>
                <c:pt idx="21">
                  <c:v>169450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B-4566-8DC9-565B522D5F40}"/>
            </c:ext>
          </c:extLst>
        </c:ser>
        <c:ser>
          <c:idx val="1"/>
          <c:order val="1"/>
          <c:tx>
            <c:strRef>
              <c:f>'1'!$C$16</c:f>
              <c:strCache>
                <c:ptCount val="1"/>
                <c:pt idx="0">
                  <c:v>Gesamtkosten B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'1'!$A$17:$A$38</c:f>
              <c:numCache>
                <c:formatCode>_-* #,##0.00\ _D_M_-;\-* #,##0.00\ _D_M_-;_-* "-"??\ _D_M_-;_-@_-</c:formatCode>
                <c:ptCount val="22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1500</c:v>
                </c:pt>
                <c:pt idx="11">
                  <c:v>2000</c:v>
                </c:pt>
                <c:pt idx="12">
                  <c:v>2500</c:v>
                </c:pt>
                <c:pt idx="13">
                  <c:v>3000</c:v>
                </c:pt>
                <c:pt idx="14">
                  <c:v>3500</c:v>
                </c:pt>
                <c:pt idx="15">
                  <c:v>4000</c:v>
                </c:pt>
                <c:pt idx="16">
                  <c:v>4500</c:v>
                </c:pt>
                <c:pt idx="17">
                  <c:v>5000</c:v>
                </c:pt>
                <c:pt idx="18">
                  <c:v>2560</c:v>
                </c:pt>
                <c:pt idx="19">
                  <c:v>22350</c:v>
                </c:pt>
                <c:pt idx="20">
                  <c:v>100000</c:v>
                </c:pt>
                <c:pt idx="21">
                  <c:v>120000</c:v>
                </c:pt>
              </c:numCache>
            </c:numRef>
          </c:cat>
          <c:val>
            <c:numRef>
              <c:f>'1'!$C$17:$C$38</c:f>
              <c:numCache>
                <c:formatCode>_-* #,##0.00\ _D_M_-;\-* #,##0.00\ _D_M_-;_-* "-"??\ _D_M_-;_-@_-</c:formatCode>
                <c:ptCount val="22"/>
                <c:pt idx="0">
                  <c:v>17920</c:v>
                </c:pt>
                <c:pt idx="1">
                  <c:v>18030</c:v>
                </c:pt>
                <c:pt idx="2">
                  <c:v>18140</c:v>
                </c:pt>
                <c:pt idx="3">
                  <c:v>18360</c:v>
                </c:pt>
                <c:pt idx="4">
                  <c:v>18470</c:v>
                </c:pt>
                <c:pt idx="5">
                  <c:v>18580</c:v>
                </c:pt>
                <c:pt idx="6">
                  <c:v>18690</c:v>
                </c:pt>
                <c:pt idx="7">
                  <c:v>18800</c:v>
                </c:pt>
                <c:pt idx="8">
                  <c:v>18910</c:v>
                </c:pt>
                <c:pt idx="9">
                  <c:v>19020</c:v>
                </c:pt>
                <c:pt idx="10">
                  <c:v>19570</c:v>
                </c:pt>
                <c:pt idx="11">
                  <c:v>20120</c:v>
                </c:pt>
                <c:pt idx="12">
                  <c:v>20670</c:v>
                </c:pt>
                <c:pt idx="13">
                  <c:v>21220</c:v>
                </c:pt>
                <c:pt idx="14">
                  <c:v>21770</c:v>
                </c:pt>
                <c:pt idx="15">
                  <c:v>22320</c:v>
                </c:pt>
                <c:pt idx="16">
                  <c:v>22870</c:v>
                </c:pt>
                <c:pt idx="17">
                  <c:v>23420</c:v>
                </c:pt>
                <c:pt idx="18">
                  <c:v>20736</c:v>
                </c:pt>
                <c:pt idx="19">
                  <c:v>42505</c:v>
                </c:pt>
                <c:pt idx="20">
                  <c:v>127920.00000000001</c:v>
                </c:pt>
                <c:pt idx="21">
                  <c:v>149920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B-4566-8DC9-565B522D5F40}"/>
            </c:ext>
          </c:extLst>
        </c:ser>
        <c:ser>
          <c:idx val="2"/>
          <c:order val="2"/>
          <c:tx>
            <c:strRef>
              <c:f>'1'!$D$16</c:f>
              <c:strCache>
                <c:ptCount val="1"/>
                <c:pt idx="0">
                  <c:v>Gesamtkosten C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'1'!$A$17:$A$38</c:f>
              <c:numCache>
                <c:formatCode>_-* #,##0.00\ _D_M_-;\-* #,##0.00\ _D_M_-;_-* "-"??\ _D_M_-;_-@_-</c:formatCode>
                <c:ptCount val="22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1500</c:v>
                </c:pt>
                <c:pt idx="11">
                  <c:v>2000</c:v>
                </c:pt>
                <c:pt idx="12">
                  <c:v>2500</c:v>
                </c:pt>
                <c:pt idx="13">
                  <c:v>3000</c:v>
                </c:pt>
                <c:pt idx="14">
                  <c:v>3500</c:v>
                </c:pt>
                <c:pt idx="15">
                  <c:v>4000</c:v>
                </c:pt>
                <c:pt idx="16">
                  <c:v>4500</c:v>
                </c:pt>
                <c:pt idx="17">
                  <c:v>5000</c:v>
                </c:pt>
                <c:pt idx="18">
                  <c:v>2560</c:v>
                </c:pt>
                <c:pt idx="19">
                  <c:v>22350</c:v>
                </c:pt>
                <c:pt idx="20">
                  <c:v>100000</c:v>
                </c:pt>
                <c:pt idx="21">
                  <c:v>120000</c:v>
                </c:pt>
              </c:numCache>
            </c:numRef>
          </c:cat>
          <c:val>
            <c:numRef>
              <c:f>'1'!$D$17:$D$38</c:f>
              <c:numCache>
                <c:formatCode>_-* #,##0.00\ _D_M_-;\-* #,##0.00\ _D_M_-;_-* "-"??\ _D_M_-;_-@_-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0B-4566-8DC9-565B522D5F40}"/>
            </c:ext>
          </c:extLst>
        </c:ser>
        <c:ser>
          <c:idx val="3"/>
          <c:order val="3"/>
          <c:tx>
            <c:strRef>
              <c:f>'1'!$E$16</c:f>
              <c:strCache>
                <c:ptCount val="1"/>
                <c:pt idx="0">
                  <c:v>Gesamtkosten D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'1'!$A$17:$A$38</c:f>
              <c:numCache>
                <c:formatCode>_-* #,##0.00\ _D_M_-;\-* #,##0.00\ _D_M_-;_-* "-"??\ _D_M_-;_-@_-</c:formatCode>
                <c:ptCount val="22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1500</c:v>
                </c:pt>
                <c:pt idx="11">
                  <c:v>2000</c:v>
                </c:pt>
                <c:pt idx="12">
                  <c:v>2500</c:v>
                </c:pt>
                <c:pt idx="13">
                  <c:v>3000</c:v>
                </c:pt>
                <c:pt idx="14">
                  <c:v>3500</c:v>
                </c:pt>
                <c:pt idx="15">
                  <c:v>4000</c:v>
                </c:pt>
                <c:pt idx="16">
                  <c:v>4500</c:v>
                </c:pt>
                <c:pt idx="17">
                  <c:v>5000</c:v>
                </c:pt>
                <c:pt idx="18">
                  <c:v>2560</c:v>
                </c:pt>
                <c:pt idx="19">
                  <c:v>22350</c:v>
                </c:pt>
                <c:pt idx="20">
                  <c:v>100000</c:v>
                </c:pt>
                <c:pt idx="21">
                  <c:v>120000</c:v>
                </c:pt>
              </c:numCache>
            </c:numRef>
          </c:cat>
          <c:val>
            <c:numRef>
              <c:f>'1'!$E$17:$E$38</c:f>
              <c:numCache>
                <c:formatCode>_-* #,##0.00\ _D_M_-;\-* #,##0.00\ _D_M_-;_-* "-"??\ _D_M_-;_-@_-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0B-4566-8DC9-565B522D5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866816"/>
        <c:axId val="1"/>
      </c:lineChart>
      <c:dateAx>
        <c:axId val="1606866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Menge</a:t>
                </a:r>
              </a:p>
            </c:rich>
          </c:tx>
          <c:layout>
            <c:manualLayout>
              <c:xMode val="edge"/>
              <c:yMode val="edge"/>
              <c:x val="0.84814283381622468"/>
              <c:y val="0.752919003183330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0"/>
        <c:lblOffset val="100"/>
        <c:baseTimeUnit val="months"/>
        <c:majorUnit val="14"/>
        <c:majorTimeUnit val="years"/>
        <c:minorUnit val="7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Kosten</a:t>
                </a:r>
              </a:p>
            </c:rich>
          </c:tx>
          <c:layout>
            <c:manualLayout>
              <c:xMode val="edge"/>
              <c:yMode val="edge"/>
              <c:x val="0.14701142452814561"/>
              <c:y val="7.7821085600344272E-2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.00\ _D_M_-;\-* #,##0.00\ _D_M_-;_-* &quot;-&quot;??\ _D_M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686681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969696" mc:Ignorable="a14" a14:legacySpreadsheetColorIndex="55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path path="rect">
            <a:fillToRect t="100000" r="100000"/>
          </a:path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62856676324495"/>
          <c:y val="0.95136277146420867"/>
          <c:w val="0.7269795718424783"/>
          <c:h val="4.28015970801893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74193548387097"/>
          <c:y val="4.6601941747572817E-2"/>
          <c:w val="0.74516129032258061"/>
          <c:h val="0.85631067961165053"/>
        </c:manualLayout>
      </c:layout>
      <c:lineChart>
        <c:grouping val="standard"/>
        <c:varyColors val="0"/>
        <c:ser>
          <c:idx val="0"/>
          <c:order val="0"/>
          <c:tx>
            <c:strRef>
              <c:f>'2'!$B$17</c:f>
              <c:strCache>
                <c:ptCount val="1"/>
                <c:pt idx="0">
                  <c:v>Gewinn 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'2'!$A$18:$A$39</c:f>
              <c:numCache>
                <c:formatCode>_-* #,##0.00\ _D_M_-;\-* #,##0.00\ _D_M_-;_-* "-"??\ _D_M_-;_-@_-</c:formatCode>
                <c:ptCount val="22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1500</c:v>
                </c:pt>
                <c:pt idx="11">
                  <c:v>2000</c:v>
                </c:pt>
                <c:pt idx="12">
                  <c:v>2500</c:v>
                </c:pt>
                <c:pt idx="13">
                  <c:v>3000</c:v>
                </c:pt>
                <c:pt idx="14">
                  <c:v>3500</c:v>
                </c:pt>
                <c:pt idx="15">
                  <c:v>4000</c:v>
                </c:pt>
                <c:pt idx="16">
                  <c:v>4500</c:v>
                </c:pt>
                <c:pt idx="17">
                  <c:v>5000</c:v>
                </c:pt>
                <c:pt idx="18">
                  <c:v>5000</c:v>
                </c:pt>
                <c:pt idx="19">
                  <c:v>4900</c:v>
                </c:pt>
                <c:pt idx="20">
                  <c:v>4800</c:v>
                </c:pt>
                <c:pt idx="21">
                  <c:v>3539</c:v>
                </c:pt>
              </c:numCache>
            </c:numRef>
          </c:cat>
          <c:val>
            <c:numRef>
              <c:f>'2'!$B$18:$B$39</c:f>
              <c:numCache>
                <c:formatCode>_-* #,##0.00\ _D_M_-;\-* #,##0.00\ _D_M_-;_-* "-"??\ _D_M_-;_-@_-</c:formatCode>
                <c:ptCount val="22"/>
                <c:pt idx="0">
                  <c:v>-21000</c:v>
                </c:pt>
                <c:pt idx="1">
                  <c:v>-18200</c:v>
                </c:pt>
                <c:pt idx="2">
                  <c:v>-15400</c:v>
                </c:pt>
                <c:pt idx="3">
                  <c:v>-9800</c:v>
                </c:pt>
                <c:pt idx="4">
                  <c:v>-7000</c:v>
                </c:pt>
                <c:pt idx="5">
                  <c:v>-4200</c:v>
                </c:pt>
                <c:pt idx="6">
                  <c:v>-1400</c:v>
                </c:pt>
                <c:pt idx="7">
                  <c:v>1400</c:v>
                </c:pt>
                <c:pt idx="8">
                  <c:v>4200</c:v>
                </c:pt>
                <c:pt idx="9">
                  <c:v>7000</c:v>
                </c:pt>
                <c:pt idx="10">
                  <c:v>21000</c:v>
                </c:pt>
                <c:pt idx="11">
                  <c:v>35000</c:v>
                </c:pt>
                <c:pt idx="12">
                  <c:v>49000</c:v>
                </c:pt>
                <c:pt idx="13">
                  <c:v>63000</c:v>
                </c:pt>
                <c:pt idx="14">
                  <c:v>77000</c:v>
                </c:pt>
                <c:pt idx="15">
                  <c:v>91000</c:v>
                </c:pt>
                <c:pt idx="16">
                  <c:v>105000</c:v>
                </c:pt>
                <c:pt idx="17">
                  <c:v>119000</c:v>
                </c:pt>
                <c:pt idx="18">
                  <c:v>119000</c:v>
                </c:pt>
                <c:pt idx="19">
                  <c:v>116200</c:v>
                </c:pt>
                <c:pt idx="20">
                  <c:v>113400</c:v>
                </c:pt>
                <c:pt idx="21">
                  <c:v>78092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2-44AF-AD4E-C236716D6729}"/>
            </c:ext>
          </c:extLst>
        </c:ser>
        <c:ser>
          <c:idx val="1"/>
          <c:order val="1"/>
          <c:tx>
            <c:strRef>
              <c:f>'2'!$C$17</c:f>
              <c:strCache>
                <c:ptCount val="1"/>
                <c:pt idx="0">
                  <c:v>Gewinn B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'2'!$A$18:$A$39</c:f>
              <c:numCache>
                <c:formatCode>_-* #,##0.00\ _D_M_-;\-* #,##0.00\ _D_M_-;_-* "-"??\ _D_M_-;_-@_-</c:formatCode>
                <c:ptCount val="22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1500</c:v>
                </c:pt>
                <c:pt idx="11">
                  <c:v>2000</c:v>
                </c:pt>
                <c:pt idx="12">
                  <c:v>2500</c:v>
                </c:pt>
                <c:pt idx="13">
                  <c:v>3000</c:v>
                </c:pt>
                <c:pt idx="14">
                  <c:v>3500</c:v>
                </c:pt>
                <c:pt idx="15">
                  <c:v>4000</c:v>
                </c:pt>
                <c:pt idx="16">
                  <c:v>4500</c:v>
                </c:pt>
                <c:pt idx="17">
                  <c:v>5000</c:v>
                </c:pt>
                <c:pt idx="18">
                  <c:v>5000</c:v>
                </c:pt>
                <c:pt idx="19">
                  <c:v>4900</c:v>
                </c:pt>
                <c:pt idx="20">
                  <c:v>4800</c:v>
                </c:pt>
                <c:pt idx="21">
                  <c:v>3539</c:v>
                </c:pt>
              </c:numCache>
            </c:numRef>
          </c:cat>
          <c:val>
            <c:numRef>
              <c:f>'2'!$C$18:$C$39</c:f>
              <c:numCache>
                <c:formatCode>_-* #,##0.00\ _D_M_-;\-* #,##0.00\ _D_M_-;_-* "-"??\ _D_M_-;_-@_-</c:formatCode>
                <c:ptCount val="22"/>
                <c:pt idx="0">
                  <c:v>-23000</c:v>
                </c:pt>
                <c:pt idx="1">
                  <c:v>-20000</c:v>
                </c:pt>
                <c:pt idx="2">
                  <c:v>-17000</c:v>
                </c:pt>
                <c:pt idx="3">
                  <c:v>-11000</c:v>
                </c:pt>
                <c:pt idx="4">
                  <c:v>-8000</c:v>
                </c:pt>
                <c:pt idx="5">
                  <c:v>-5000</c:v>
                </c:pt>
                <c:pt idx="6">
                  <c:v>-2000</c:v>
                </c:pt>
                <c:pt idx="7">
                  <c:v>1000</c:v>
                </c:pt>
                <c:pt idx="8">
                  <c:v>4000</c:v>
                </c:pt>
                <c:pt idx="9">
                  <c:v>7000</c:v>
                </c:pt>
                <c:pt idx="10">
                  <c:v>22000</c:v>
                </c:pt>
                <c:pt idx="11">
                  <c:v>37000</c:v>
                </c:pt>
                <c:pt idx="12">
                  <c:v>52000</c:v>
                </c:pt>
                <c:pt idx="13">
                  <c:v>67000</c:v>
                </c:pt>
                <c:pt idx="14">
                  <c:v>82000</c:v>
                </c:pt>
                <c:pt idx="15">
                  <c:v>97000</c:v>
                </c:pt>
                <c:pt idx="16">
                  <c:v>112000</c:v>
                </c:pt>
                <c:pt idx="17">
                  <c:v>127000</c:v>
                </c:pt>
                <c:pt idx="18">
                  <c:v>127000</c:v>
                </c:pt>
                <c:pt idx="19">
                  <c:v>124000</c:v>
                </c:pt>
                <c:pt idx="20">
                  <c:v>121000</c:v>
                </c:pt>
                <c:pt idx="21">
                  <c:v>83170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2-44AF-AD4E-C236716D6729}"/>
            </c:ext>
          </c:extLst>
        </c:ser>
        <c:ser>
          <c:idx val="2"/>
          <c:order val="2"/>
          <c:tx>
            <c:strRef>
              <c:f>'2'!$D$17</c:f>
              <c:strCache>
                <c:ptCount val="1"/>
                <c:pt idx="0">
                  <c:v>Gewinn C</c:v>
                </c:pt>
              </c:strCache>
            </c:strRef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'2'!$A$18:$A$39</c:f>
              <c:numCache>
                <c:formatCode>_-* #,##0.00\ _D_M_-;\-* #,##0.00\ _D_M_-;_-* "-"??\ _D_M_-;_-@_-</c:formatCode>
                <c:ptCount val="22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1500</c:v>
                </c:pt>
                <c:pt idx="11">
                  <c:v>2000</c:v>
                </c:pt>
                <c:pt idx="12">
                  <c:v>2500</c:v>
                </c:pt>
                <c:pt idx="13">
                  <c:v>3000</c:v>
                </c:pt>
                <c:pt idx="14">
                  <c:v>3500</c:v>
                </c:pt>
                <c:pt idx="15">
                  <c:v>4000</c:v>
                </c:pt>
                <c:pt idx="16">
                  <c:v>4500</c:v>
                </c:pt>
                <c:pt idx="17">
                  <c:v>5000</c:v>
                </c:pt>
                <c:pt idx="18">
                  <c:v>5000</c:v>
                </c:pt>
                <c:pt idx="19">
                  <c:v>4900</c:v>
                </c:pt>
                <c:pt idx="20">
                  <c:v>4800</c:v>
                </c:pt>
                <c:pt idx="21">
                  <c:v>3539</c:v>
                </c:pt>
              </c:numCache>
            </c:numRef>
          </c:cat>
          <c:val>
            <c:numRef>
              <c:f>'2'!$D$18:$D$39</c:f>
              <c:numCache>
                <c:formatCode>_-* #,##0.00\ _D_M_-;\-* #,##0.00\ _D_M_-;_-* "-"??\ _D_M_-;_-@_-</c:formatCode>
                <c:ptCount val="22"/>
                <c:pt idx="0">
                  <c:v>-27000</c:v>
                </c:pt>
                <c:pt idx="1">
                  <c:v>-24100</c:v>
                </c:pt>
                <c:pt idx="2">
                  <c:v>-21200</c:v>
                </c:pt>
                <c:pt idx="3">
                  <c:v>-15400</c:v>
                </c:pt>
                <c:pt idx="4">
                  <c:v>-12500</c:v>
                </c:pt>
                <c:pt idx="5">
                  <c:v>-9600</c:v>
                </c:pt>
                <c:pt idx="6">
                  <c:v>-6700</c:v>
                </c:pt>
                <c:pt idx="7">
                  <c:v>-3800</c:v>
                </c:pt>
                <c:pt idx="8">
                  <c:v>-900</c:v>
                </c:pt>
                <c:pt idx="9">
                  <c:v>2000</c:v>
                </c:pt>
                <c:pt idx="10">
                  <c:v>16500</c:v>
                </c:pt>
                <c:pt idx="11">
                  <c:v>31000</c:v>
                </c:pt>
                <c:pt idx="12">
                  <c:v>45500</c:v>
                </c:pt>
                <c:pt idx="13">
                  <c:v>60000</c:v>
                </c:pt>
                <c:pt idx="14">
                  <c:v>74500</c:v>
                </c:pt>
                <c:pt idx="15">
                  <c:v>89000</c:v>
                </c:pt>
                <c:pt idx="16">
                  <c:v>103500</c:v>
                </c:pt>
                <c:pt idx="17">
                  <c:v>118000</c:v>
                </c:pt>
                <c:pt idx="18">
                  <c:v>118000</c:v>
                </c:pt>
                <c:pt idx="19">
                  <c:v>115100</c:v>
                </c:pt>
                <c:pt idx="20">
                  <c:v>112200</c:v>
                </c:pt>
                <c:pt idx="21">
                  <c:v>75631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42-44AF-AD4E-C236716D6729}"/>
            </c:ext>
          </c:extLst>
        </c:ser>
        <c:ser>
          <c:idx val="3"/>
          <c:order val="3"/>
          <c:tx>
            <c:strRef>
              <c:f>'2'!$E$17</c:f>
              <c:strCache>
                <c:ptCount val="1"/>
                <c:pt idx="0">
                  <c:v>Gewinn D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'2'!$A$18:$A$39</c:f>
              <c:numCache>
                <c:formatCode>_-* #,##0.00\ _D_M_-;\-* #,##0.00\ _D_M_-;_-* "-"??\ _D_M_-;_-@_-</c:formatCode>
                <c:ptCount val="22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1500</c:v>
                </c:pt>
                <c:pt idx="11">
                  <c:v>2000</c:v>
                </c:pt>
                <c:pt idx="12">
                  <c:v>2500</c:v>
                </c:pt>
                <c:pt idx="13">
                  <c:v>3000</c:v>
                </c:pt>
                <c:pt idx="14">
                  <c:v>3500</c:v>
                </c:pt>
                <c:pt idx="15">
                  <c:v>4000</c:v>
                </c:pt>
                <c:pt idx="16">
                  <c:v>4500</c:v>
                </c:pt>
                <c:pt idx="17">
                  <c:v>5000</c:v>
                </c:pt>
                <c:pt idx="18">
                  <c:v>5000</c:v>
                </c:pt>
                <c:pt idx="19">
                  <c:v>4900</c:v>
                </c:pt>
                <c:pt idx="20">
                  <c:v>4800</c:v>
                </c:pt>
                <c:pt idx="21">
                  <c:v>3539</c:v>
                </c:pt>
              </c:numCache>
            </c:numRef>
          </c:cat>
          <c:val>
            <c:numRef>
              <c:f>'2'!$E$18:$E$39</c:f>
              <c:numCache>
                <c:formatCode>_-* #,##0.00\ _D_M_-;\-* #,##0.00\ _D_M_-;_-* "-"??\ _D_M_-;_-@_-</c:formatCode>
                <c:ptCount val="22"/>
                <c:pt idx="0">
                  <c:v>0</c:v>
                </c:pt>
                <c:pt idx="1">
                  <c:v>2350</c:v>
                </c:pt>
                <c:pt idx="2">
                  <c:v>4700</c:v>
                </c:pt>
                <c:pt idx="3">
                  <c:v>9400</c:v>
                </c:pt>
                <c:pt idx="4">
                  <c:v>11750</c:v>
                </c:pt>
                <c:pt idx="5">
                  <c:v>14100</c:v>
                </c:pt>
                <c:pt idx="6">
                  <c:v>16450</c:v>
                </c:pt>
                <c:pt idx="7">
                  <c:v>18800</c:v>
                </c:pt>
                <c:pt idx="8">
                  <c:v>21150</c:v>
                </c:pt>
                <c:pt idx="9">
                  <c:v>23500</c:v>
                </c:pt>
                <c:pt idx="10">
                  <c:v>35250</c:v>
                </c:pt>
                <c:pt idx="11">
                  <c:v>47000</c:v>
                </c:pt>
                <c:pt idx="12">
                  <c:v>58750</c:v>
                </c:pt>
                <c:pt idx="13">
                  <c:v>70500</c:v>
                </c:pt>
                <c:pt idx="14">
                  <c:v>82250</c:v>
                </c:pt>
                <c:pt idx="15">
                  <c:v>94000</c:v>
                </c:pt>
                <c:pt idx="16">
                  <c:v>105750</c:v>
                </c:pt>
                <c:pt idx="17">
                  <c:v>117500</c:v>
                </c:pt>
                <c:pt idx="18">
                  <c:v>117500</c:v>
                </c:pt>
                <c:pt idx="19">
                  <c:v>115150</c:v>
                </c:pt>
                <c:pt idx="20">
                  <c:v>112800</c:v>
                </c:pt>
                <c:pt idx="21">
                  <c:v>83166.5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42-44AF-AD4E-C236716D6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3266976"/>
        <c:axId val="1"/>
      </c:lineChart>
      <c:dateAx>
        <c:axId val="151326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Menge</a:t>
                </a:r>
              </a:p>
            </c:rich>
          </c:tx>
          <c:layout>
            <c:manualLayout>
              <c:xMode val="edge"/>
              <c:yMode val="edge"/>
              <c:x val="0.86935483870967745"/>
              <c:y val="0.914563106796116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0"/>
        <c:lblOffset val="100"/>
        <c:baseTimeUnit val="days"/>
        <c:majorUnit val="1"/>
        <c:majorTimeUnit val="years"/>
        <c:minorUnit val="6"/>
        <c:minor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Gewinn</a:t>
                </a:r>
              </a:p>
            </c:rich>
          </c:tx>
          <c:layout>
            <c:manualLayout>
              <c:xMode val="edge"/>
              <c:yMode val="edge"/>
              <c:x val="9.6774193548387101E-3"/>
              <c:y val="4.8543689320388349E-2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.00\ _D_M_-;\-* #,##0.00\ _D_M_-;_-* &quot;-&quot;??\ _D_M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32669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969696" mc:Ignorable="a14" a14:legacySpreadsheetColorIndex="55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/>
            </a:gs>
          </a:gsLst>
          <a:path path="rect">
            <a:fillToRect t="100000" r="100000"/>
          </a:path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870967741935483"/>
          <c:y val="0.92815533980582521"/>
          <c:w val="0.52580645161290318"/>
          <c:h val="4.271844660194174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948787061994605E-2"/>
          <c:y val="0.11602209944751381"/>
          <c:w val="0.73854447439353099"/>
          <c:h val="0.69889502762430944"/>
        </c:manualLayout>
      </c:layout>
      <c:bubbleChart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8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'16'!$C$6:$C$12</c:f>
              <c:numCache>
                <c:formatCode>_-* #,##0.00\ _D_M_-;\-* #,##0.00\ _D_M_-;_-* "-"??\ _D_M_-;_-@_-</c:formatCode>
                <c:ptCount val="7"/>
                <c:pt idx="0">
                  <c:v>16</c:v>
                </c:pt>
                <c:pt idx="1">
                  <c:v>10</c:v>
                </c:pt>
                <c:pt idx="2">
                  <c:v>13</c:v>
                </c:pt>
                <c:pt idx="3">
                  <c:v>7</c:v>
                </c:pt>
                <c:pt idx="4">
                  <c:v>3</c:v>
                </c:pt>
                <c:pt idx="5">
                  <c:v>7</c:v>
                </c:pt>
                <c:pt idx="6">
                  <c:v>15</c:v>
                </c:pt>
              </c:numCache>
            </c:numRef>
          </c:xVal>
          <c:yVal>
            <c:numRef>
              <c:f>'16'!$B$6:$B$12</c:f>
              <c:numCache>
                <c:formatCode>_-* #,##0.00\ _D_M_-;\-* #,##0.00\ _D_M_-;_-* "-"??\ _D_M_-;_-@_-</c:formatCode>
                <c:ptCount val="7"/>
                <c:pt idx="0">
                  <c:v>8</c:v>
                </c:pt>
                <c:pt idx="1">
                  <c:v>6</c:v>
                </c:pt>
                <c:pt idx="2">
                  <c:v>3.5</c:v>
                </c:pt>
                <c:pt idx="3">
                  <c:v>3</c:v>
                </c:pt>
                <c:pt idx="4">
                  <c:v>2</c:v>
                </c:pt>
                <c:pt idx="5">
                  <c:v>7</c:v>
                </c:pt>
                <c:pt idx="6">
                  <c:v>6</c:v>
                </c:pt>
              </c:numCache>
            </c:numRef>
          </c:yVal>
          <c:bubbleSize>
            <c:numRef>
              <c:f>'16'!$D$6:$D$12</c:f>
              <c:numCache>
                <c:formatCode>_("€"* #,##0.00_);_("€"* \(#,##0.00\);_("€"* "-"??_);_(@_)</c:formatCode>
                <c:ptCount val="7"/>
                <c:pt idx="0">
                  <c:v>110000</c:v>
                </c:pt>
                <c:pt idx="1">
                  <c:v>56000</c:v>
                </c:pt>
                <c:pt idx="2">
                  <c:v>280000</c:v>
                </c:pt>
                <c:pt idx="3">
                  <c:v>170000</c:v>
                </c:pt>
                <c:pt idx="4">
                  <c:v>120000</c:v>
                </c:pt>
                <c:pt idx="5">
                  <c:v>43000</c:v>
                </c:pt>
                <c:pt idx="6">
                  <c:v>100000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EFC0-4548-BC77-7002A8CB8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606865152"/>
        <c:axId val="1"/>
      </c:bubbleChart>
      <c:valAx>
        <c:axId val="1606865152"/>
        <c:scaling>
          <c:orientation val="minMax"/>
          <c:max val="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Marktanteil</a:t>
                </a:r>
              </a:p>
            </c:rich>
          </c:tx>
          <c:layout>
            <c:manualLayout>
              <c:xMode val="edge"/>
              <c:yMode val="edge"/>
              <c:x val="0.36657681940700809"/>
              <c:y val="0.89226519337016574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.00\ _D_M_-;\-* #,##0.00\ _D_M_-;_-* &quot;-&quot;??\ _D_M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10"/>
        <c:minorUnit val="2"/>
      </c:valAx>
      <c:valAx>
        <c:axId val="1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Marktwachstum</a:t>
                </a:r>
              </a:p>
            </c:rich>
          </c:tx>
          <c:layout>
            <c:manualLayout>
              <c:xMode val="edge"/>
              <c:yMode val="edge"/>
              <c:x val="1.3477088948787063E-2"/>
              <c:y val="0.55524861878453036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.00\ _D_M_-;\-* #,##0.00\ _D_M_-;_-* &quot;-&quot;??\ _D_M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6865152"/>
        <c:crosses val="autoZero"/>
        <c:crossBetween val="midCat"/>
        <c:majorUnit val="5"/>
        <c:min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11'!A1"/><Relationship Id="rId13" Type="http://schemas.openxmlformats.org/officeDocument/2006/relationships/hyperlink" Target="#'15'!A1"/><Relationship Id="rId3" Type="http://schemas.openxmlformats.org/officeDocument/2006/relationships/hyperlink" Target="#'5'!A1"/><Relationship Id="rId7" Type="http://schemas.openxmlformats.org/officeDocument/2006/relationships/hyperlink" Target="#'9'!A1"/><Relationship Id="rId12" Type="http://schemas.openxmlformats.org/officeDocument/2006/relationships/hyperlink" Target="#'14'!A1"/><Relationship Id="rId2" Type="http://schemas.openxmlformats.org/officeDocument/2006/relationships/hyperlink" Target="#'2'!A1"/><Relationship Id="rId1" Type="http://schemas.openxmlformats.org/officeDocument/2006/relationships/hyperlink" Target="#'1'!A1"/><Relationship Id="rId6" Type="http://schemas.openxmlformats.org/officeDocument/2006/relationships/hyperlink" Target="#'8'!A1"/><Relationship Id="rId11" Type="http://schemas.openxmlformats.org/officeDocument/2006/relationships/hyperlink" Target="#'10'!A1"/><Relationship Id="rId5" Type="http://schemas.openxmlformats.org/officeDocument/2006/relationships/hyperlink" Target="#'6'!A1"/><Relationship Id="rId10" Type="http://schemas.openxmlformats.org/officeDocument/2006/relationships/hyperlink" Target="#'13'!A1"/><Relationship Id="rId4" Type="http://schemas.openxmlformats.org/officeDocument/2006/relationships/hyperlink" Target="#'7'!A1"/><Relationship Id="rId9" Type="http://schemas.openxmlformats.org/officeDocument/2006/relationships/hyperlink" Target="#'12'!A1"/><Relationship Id="rId14" Type="http://schemas.openxmlformats.org/officeDocument/2006/relationships/hyperlink" Target="#'16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Wegweiser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Wegweiser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Wegweiser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Wegweiser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Wegweiser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Wegweiser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Wegweiser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hyperlink" Target="#Wegweiser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Wegweiser!A1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Wegweiser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Wegweiser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Wegweiser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Wegweiser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Wegweiser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Wegweiser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Wegweis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8</xdr:row>
      <xdr:rowOff>123825</xdr:rowOff>
    </xdr:from>
    <xdr:to>
      <xdr:col>1</xdr:col>
      <xdr:colOff>2419350</xdr:colOff>
      <xdr:row>10</xdr:row>
      <xdr:rowOff>85725</xdr:rowOff>
    </xdr:to>
    <xdr:grpSp>
      <xdr:nvGrpSpPr>
        <xdr:cNvPr id="3075" name="Group 3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257175" y="1714500"/>
          <a:ext cx="2314575" cy="285750"/>
          <a:chOff x="39" y="538"/>
          <a:chExt cx="313" cy="3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3" name="Button 1" hidden="1">
                <a:extLst>
                  <a:ext uri="{63B3BB69-23CF-44E3-9099-C40C66FF867C}">
                    <a14:compatExt spid="_x0000_s3073"/>
                  </a:ext>
                </a:extLst>
              </xdr:cNvPr>
              <xdr:cNvSpPr/>
            </xdr:nvSpPr>
            <xdr:spPr bwMode="auto">
              <a:xfrm>
                <a:off x="39" y="538"/>
                <a:ext cx="313" cy="3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41" y="544"/>
            <a:ext cx="311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Kostenvergleich</a:t>
            </a:r>
          </a:p>
        </xdr:txBody>
      </xdr:sp>
    </xdr:grpSp>
    <xdr:clientData/>
  </xdr:twoCellAnchor>
  <xdr:twoCellAnchor>
    <xdr:from>
      <xdr:col>1</xdr:col>
      <xdr:colOff>104775</xdr:colOff>
      <xdr:row>11</xdr:row>
      <xdr:rowOff>47625</xdr:rowOff>
    </xdr:from>
    <xdr:to>
      <xdr:col>1</xdr:col>
      <xdr:colOff>2419350</xdr:colOff>
      <xdr:row>13</xdr:row>
      <xdr:rowOff>19050</xdr:rowOff>
    </xdr:to>
    <xdr:grpSp>
      <xdr:nvGrpSpPr>
        <xdr:cNvPr id="3101" name="Group 29">
          <a:hlinkClick xmlns:r="http://schemas.openxmlformats.org/officeDocument/2006/relationships" r:id="rId2"/>
        </xdr:cNvPr>
        <xdr:cNvGrpSpPr>
          <a:grpSpLocks/>
        </xdr:cNvGrpSpPr>
      </xdr:nvGrpSpPr>
      <xdr:grpSpPr bwMode="auto">
        <a:xfrm>
          <a:off x="257175" y="2124075"/>
          <a:ext cx="2314575" cy="295275"/>
          <a:chOff x="40" y="265"/>
          <a:chExt cx="313" cy="3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77" name="Button 5" hidden="1">
                <a:extLst>
                  <a:ext uri="{63B3BB69-23CF-44E3-9099-C40C66FF867C}">
                    <a14:compatExt spid="_x0000_s3077"/>
                  </a:ext>
                </a:extLst>
              </xdr:cNvPr>
              <xdr:cNvSpPr/>
            </xdr:nvSpPr>
            <xdr:spPr bwMode="auto">
              <a:xfrm>
                <a:off x="40" y="265"/>
                <a:ext cx="313" cy="3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2" y="271"/>
            <a:ext cx="311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Gewinnvergleich</a:t>
            </a:r>
          </a:p>
        </xdr:txBody>
      </xdr:sp>
    </xdr:grpSp>
    <xdr:clientData/>
  </xdr:twoCellAnchor>
  <xdr:twoCellAnchor>
    <xdr:from>
      <xdr:col>1</xdr:col>
      <xdr:colOff>95250</xdr:colOff>
      <xdr:row>13</xdr:row>
      <xdr:rowOff>142875</xdr:rowOff>
    </xdr:from>
    <xdr:to>
      <xdr:col>1</xdr:col>
      <xdr:colOff>2409825</xdr:colOff>
      <xdr:row>15</xdr:row>
      <xdr:rowOff>114300</xdr:rowOff>
    </xdr:to>
    <xdr:grpSp>
      <xdr:nvGrpSpPr>
        <xdr:cNvPr id="3104" name="Group 32">
          <a:hlinkClick xmlns:r="http://schemas.openxmlformats.org/officeDocument/2006/relationships" r:id="rId3"/>
        </xdr:cNvPr>
        <xdr:cNvGrpSpPr>
          <a:grpSpLocks/>
        </xdr:cNvGrpSpPr>
      </xdr:nvGrpSpPr>
      <xdr:grpSpPr bwMode="auto">
        <a:xfrm>
          <a:off x="247650" y="2543175"/>
          <a:ext cx="2314575" cy="295275"/>
          <a:chOff x="39" y="444"/>
          <a:chExt cx="313" cy="3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83" name="Button 11" hidden="1">
                <a:extLst>
                  <a:ext uri="{63B3BB69-23CF-44E3-9099-C40C66FF867C}">
                    <a14:compatExt spid="_x0000_s3083"/>
                  </a:ext>
                </a:extLst>
              </xdr:cNvPr>
              <xdr:cNvSpPr/>
            </xdr:nvSpPr>
            <xdr:spPr bwMode="auto">
              <a:xfrm>
                <a:off x="39" y="444"/>
                <a:ext cx="313" cy="3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1" y="450"/>
            <a:ext cx="311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Kapitalwertmethode</a:t>
            </a:r>
          </a:p>
        </xdr:txBody>
      </xdr:sp>
    </xdr:grpSp>
    <xdr:clientData/>
  </xdr:twoCellAnchor>
  <xdr:twoCellAnchor>
    <xdr:from>
      <xdr:col>1</xdr:col>
      <xdr:colOff>85725</xdr:colOff>
      <xdr:row>18</xdr:row>
      <xdr:rowOff>133350</xdr:rowOff>
    </xdr:from>
    <xdr:to>
      <xdr:col>1</xdr:col>
      <xdr:colOff>2409825</xdr:colOff>
      <xdr:row>20</xdr:row>
      <xdr:rowOff>104775</xdr:rowOff>
    </xdr:to>
    <xdr:grpSp>
      <xdr:nvGrpSpPr>
        <xdr:cNvPr id="3106" name="Group 34">
          <a:hlinkClick xmlns:r="http://schemas.openxmlformats.org/officeDocument/2006/relationships" r:id="rId4"/>
        </xdr:cNvPr>
        <xdr:cNvGrpSpPr>
          <a:grpSpLocks/>
        </xdr:cNvGrpSpPr>
      </xdr:nvGrpSpPr>
      <xdr:grpSpPr bwMode="auto">
        <a:xfrm>
          <a:off x="238125" y="3343275"/>
          <a:ext cx="2324100" cy="295275"/>
          <a:chOff x="36" y="565"/>
          <a:chExt cx="313" cy="3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85" name="Button 13" hidden="1">
                <a:extLst>
                  <a:ext uri="{63B3BB69-23CF-44E3-9099-C40C66FF867C}">
                    <a14:compatExt spid="_x0000_s3085"/>
                  </a:ext>
                </a:extLst>
              </xdr:cNvPr>
              <xdr:cNvSpPr/>
            </xdr:nvSpPr>
            <xdr:spPr bwMode="auto">
              <a:xfrm>
                <a:off x="36" y="565"/>
                <a:ext cx="313" cy="3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38" y="571"/>
            <a:ext cx="311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Dynamische Amortisation</a:t>
            </a:r>
          </a:p>
        </xdr:txBody>
      </xdr:sp>
    </xdr:grpSp>
    <xdr:clientData/>
  </xdr:twoCellAnchor>
  <xdr:twoCellAnchor>
    <xdr:from>
      <xdr:col>1</xdr:col>
      <xdr:colOff>95250</xdr:colOff>
      <xdr:row>16</xdr:row>
      <xdr:rowOff>57150</xdr:rowOff>
    </xdr:from>
    <xdr:to>
      <xdr:col>1</xdr:col>
      <xdr:colOff>2409825</xdr:colOff>
      <xdr:row>18</xdr:row>
      <xdr:rowOff>28575</xdr:rowOff>
    </xdr:to>
    <xdr:grpSp>
      <xdr:nvGrpSpPr>
        <xdr:cNvPr id="3105" name="Group 33">
          <a:hlinkClick xmlns:r="http://schemas.openxmlformats.org/officeDocument/2006/relationships" r:id="rId5"/>
        </xdr:cNvPr>
        <xdr:cNvGrpSpPr>
          <a:grpSpLocks/>
        </xdr:cNvGrpSpPr>
      </xdr:nvGrpSpPr>
      <xdr:grpSpPr bwMode="auto">
        <a:xfrm>
          <a:off x="247650" y="2943225"/>
          <a:ext cx="2314575" cy="295275"/>
          <a:chOff x="38" y="500"/>
          <a:chExt cx="313" cy="3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87" name="Button 15" hidden="1">
                <a:extLst>
                  <a:ext uri="{63B3BB69-23CF-44E3-9099-C40C66FF867C}">
                    <a14:compatExt spid="_x0000_s3087"/>
                  </a:ext>
                </a:extLst>
              </xdr:cNvPr>
              <xdr:cNvSpPr/>
            </xdr:nvSpPr>
            <xdr:spPr bwMode="auto">
              <a:xfrm>
                <a:off x="38" y="500"/>
                <a:ext cx="313" cy="3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" y="506"/>
            <a:ext cx="311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Interner Zinsfuß</a:t>
            </a:r>
          </a:p>
        </xdr:txBody>
      </xdr:sp>
    </xdr:grpSp>
    <xdr:clientData/>
  </xdr:twoCellAnchor>
  <xdr:twoCellAnchor>
    <xdr:from>
      <xdr:col>1</xdr:col>
      <xdr:colOff>2676525</xdr:colOff>
      <xdr:row>8</xdr:row>
      <xdr:rowOff>142875</xdr:rowOff>
    </xdr:from>
    <xdr:to>
      <xdr:col>3</xdr:col>
      <xdr:colOff>1533525</xdr:colOff>
      <xdr:row>11</xdr:row>
      <xdr:rowOff>66675</xdr:rowOff>
    </xdr:to>
    <xdr:grpSp>
      <xdr:nvGrpSpPr>
        <xdr:cNvPr id="3107" name="Group 35">
          <a:hlinkClick xmlns:r="http://schemas.openxmlformats.org/officeDocument/2006/relationships" r:id="rId6"/>
        </xdr:cNvPr>
        <xdr:cNvGrpSpPr>
          <a:grpSpLocks/>
        </xdr:cNvGrpSpPr>
      </xdr:nvGrpSpPr>
      <xdr:grpSpPr bwMode="auto">
        <a:xfrm>
          <a:off x="2828925" y="1733550"/>
          <a:ext cx="2314575" cy="409575"/>
          <a:chOff x="532" y="196"/>
          <a:chExt cx="313" cy="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89" name="Button 17" hidden="1">
                <a:extLst>
                  <a:ext uri="{63B3BB69-23CF-44E3-9099-C40C66FF867C}">
                    <a14:compatExt spid="_x0000_s3089"/>
                  </a:ext>
                </a:extLst>
              </xdr:cNvPr>
              <xdr:cNvSpPr/>
            </xdr:nvSpPr>
            <xdr:spPr bwMode="auto">
              <a:xfrm>
                <a:off x="532" y="196"/>
                <a:ext cx="313" cy="5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534" y="199"/>
            <a:ext cx="311" cy="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Finanzierung aus Rückstellungsgegenwerten vs-vs</a:t>
            </a:r>
          </a:p>
        </xdr:txBody>
      </xdr:sp>
    </xdr:grpSp>
    <xdr:clientData/>
  </xdr:twoCellAnchor>
  <xdr:twoCellAnchor>
    <xdr:from>
      <xdr:col>1</xdr:col>
      <xdr:colOff>2676525</xdr:colOff>
      <xdr:row>12</xdr:row>
      <xdr:rowOff>38100</xdr:rowOff>
    </xdr:from>
    <xdr:to>
      <xdr:col>3</xdr:col>
      <xdr:colOff>1533525</xdr:colOff>
      <xdr:row>14</xdr:row>
      <xdr:rowOff>114300</xdr:rowOff>
    </xdr:to>
    <xdr:grpSp>
      <xdr:nvGrpSpPr>
        <xdr:cNvPr id="3108" name="Group 36">
          <a:hlinkClick xmlns:r="http://schemas.openxmlformats.org/officeDocument/2006/relationships" r:id="rId7"/>
        </xdr:cNvPr>
        <xdr:cNvGrpSpPr>
          <a:grpSpLocks/>
        </xdr:cNvGrpSpPr>
      </xdr:nvGrpSpPr>
      <xdr:grpSpPr bwMode="auto">
        <a:xfrm>
          <a:off x="2828925" y="2276475"/>
          <a:ext cx="2314575" cy="400050"/>
          <a:chOff x="535" y="274"/>
          <a:chExt cx="313" cy="5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91" name="Button 19" hidden="1">
                <a:extLst>
                  <a:ext uri="{63B3BB69-23CF-44E3-9099-C40C66FF867C}">
                    <a14:compatExt spid="_x0000_s3091"/>
                  </a:ext>
                </a:extLst>
              </xdr:cNvPr>
              <xdr:cNvSpPr/>
            </xdr:nvSpPr>
            <xdr:spPr bwMode="auto">
              <a:xfrm>
                <a:off x="535" y="274"/>
                <a:ext cx="313" cy="5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537" y="277"/>
            <a:ext cx="311" cy="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Finanzierung aus Rückstellungsgegenwerten ns-ns</a:t>
            </a:r>
          </a:p>
        </xdr:txBody>
      </xdr:sp>
    </xdr:grpSp>
    <xdr:clientData/>
  </xdr:twoCellAnchor>
  <xdr:twoCellAnchor>
    <xdr:from>
      <xdr:col>1</xdr:col>
      <xdr:colOff>2686050</xdr:colOff>
      <xdr:row>15</xdr:row>
      <xdr:rowOff>85725</xdr:rowOff>
    </xdr:from>
    <xdr:to>
      <xdr:col>3</xdr:col>
      <xdr:colOff>1533525</xdr:colOff>
      <xdr:row>17</xdr:row>
      <xdr:rowOff>47625</xdr:rowOff>
    </xdr:to>
    <xdr:grpSp>
      <xdr:nvGrpSpPr>
        <xdr:cNvPr id="3110" name="Group 38">
          <a:hlinkClick xmlns:r="http://schemas.openxmlformats.org/officeDocument/2006/relationships" r:id="rId8"/>
        </xdr:cNvPr>
        <xdr:cNvGrpSpPr>
          <a:grpSpLocks/>
        </xdr:cNvGrpSpPr>
      </xdr:nvGrpSpPr>
      <xdr:grpSpPr bwMode="auto">
        <a:xfrm>
          <a:off x="2838450" y="2809875"/>
          <a:ext cx="2305050" cy="285750"/>
          <a:chOff x="533" y="407"/>
          <a:chExt cx="313" cy="3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95" name="Button 23" hidden="1">
                <a:extLst>
                  <a:ext uri="{63B3BB69-23CF-44E3-9099-C40C66FF867C}">
                    <a14:compatExt spid="_x0000_s3095"/>
                  </a:ext>
                </a:extLst>
              </xdr:cNvPr>
              <xdr:cNvSpPr/>
            </xdr:nvSpPr>
            <xdr:spPr bwMode="auto">
              <a:xfrm>
                <a:off x="533" y="407"/>
                <a:ext cx="313" cy="3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3096" name="Text Box 24"/>
          <xdr:cNvSpPr txBox="1">
            <a:spLocks noChangeArrowheads="1"/>
          </xdr:cNvSpPr>
        </xdr:nvSpPr>
        <xdr:spPr bwMode="auto">
          <a:xfrm>
            <a:off x="535" y="413"/>
            <a:ext cx="311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Kurzfristige Kreditfinanzierung</a:t>
            </a:r>
          </a:p>
        </xdr:txBody>
      </xdr:sp>
    </xdr:grpSp>
    <xdr:clientData/>
  </xdr:twoCellAnchor>
  <xdr:twoCellAnchor>
    <xdr:from>
      <xdr:col>1</xdr:col>
      <xdr:colOff>2686050</xdr:colOff>
      <xdr:row>18</xdr:row>
      <xdr:rowOff>19050</xdr:rowOff>
    </xdr:from>
    <xdr:to>
      <xdr:col>3</xdr:col>
      <xdr:colOff>1533525</xdr:colOff>
      <xdr:row>19</xdr:row>
      <xdr:rowOff>152400</xdr:rowOff>
    </xdr:to>
    <xdr:grpSp>
      <xdr:nvGrpSpPr>
        <xdr:cNvPr id="3111" name="Group 39">
          <a:hlinkClick xmlns:r="http://schemas.openxmlformats.org/officeDocument/2006/relationships" r:id="rId9"/>
        </xdr:cNvPr>
        <xdr:cNvGrpSpPr>
          <a:grpSpLocks/>
        </xdr:cNvGrpSpPr>
      </xdr:nvGrpSpPr>
      <xdr:grpSpPr bwMode="auto">
        <a:xfrm>
          <a:off x="2838450" y="3228975"/>
          <a:ext cx="2305050" cy="295275"/>
          <a:chOff x="530" y="463"/>
          <a:chExt cx="313" cy="3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97" name="Button 25" hidden="1">
                <a:extLst>
                  <a:ext uri="{63B3BB69-23CF-44E3-9099-C40C66FF867C}">
                    <a14:compatExt spid="_x0000_s3097"/>
                  </a:ext>
                </a:extLst>
              </xdr:cNvPr>
              <xdr:cNvSpPr/>
            </xdr:nvSpPr>
            <xdr:spPr bwMode="auto">
              <a:xfrm>
                <a:off x="530" y="463"/>
                <a:ext cx="313" cy="3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532" y="469"/>
            <a:ext cx="311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Langfristige Kreditfinanzierung</a:t>
            </a:r>
          </a:p>
        </xdr:txBody>
      </xdr:sp>
    </xdr:grpSp>
    <xdr:clientData/>
  </xdr:twoCellAnchor>
  <xdr:twoCellAnchor>
    <xdr:from>
      <xdr:col>1</xdr:col>
      <xdr:colOff>2695575</xdr:colOff>
      <xdr:row>20</xdr:row>
      <xdr:rowOff>114300</xdr:rowOff>
    </xdr:from>
    <xdr:to>
      <xdr:col>3</xdr:col>
      <xdr:colOff>1533525</xdr:colOff>
      <xdr:row>22</xdr:row>
      <xdr:rowOff>85725</xdr:rowOff>
    </xdr:to>
    <xdr:grpSp>
      <xdr:nvGrpSpPr>
        <xdr:cNvPr id="3112" name="Group 40">
          <a:hlinkClick xmlns:r="http://schemas.openxmlformats.org/officeDocument/2006/relationships" r:id="rId10"/>
        </xdr:cNvPr>
        <xdr:cNvGrpSpPr>
          <a:grpSpLocks/>
        </xdr:cNvGrpSpPr>
      </xdr:nvGrpSpPr>
      <xdr:grpSpPr bwMode="auto">
        <a:xfrm>
          <a:off x="2847975" y="3648075"/>
          <a:ext cx="2295525" cy="295275"/>
          <a:chOff x="530" y="521"/>
          <a:chExt cx="313" cy="3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099" name="Button 27" hidden="1">
                <a:extLst>
                  <a:ext uri="{63B3BB69-23CF-44E3-9099-C40C66FF867C}">
                    <a14:compatExt spid="_x0000_s3099"/>
                  </a:ext>
                </a:extLst>
              </xdr:cNvPr>
              <xdr:cNvSpPr/>
            </xdr:nvSpPr>
            <xdr:spPr bwMode="auto">
              <a:xfrm>
                <a:off x="530" y="521"/>
                <a:ext cx="313" cy="3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532" y="527"/>
            <a:ext cx="311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Darlehen: Tilgungspläne</a:t>
            </a:r>
          </a:p>
        </xdr:txBody>
      </xdr:sp>
    </xdr:grpSp>
    <xdr:clientData/>
  </xdr:twoCellAnchor>
  <xdr:twoCellAnchor>
    <xdr:from>
      <xdr:col>1</xdr:col>
      <xdr:colOff>114300</xdr:colOff>
      <xdr:row>3</xdr:row>
      <xdr:rowOff>76200</xdr:rowOff>
    </xdr:from>
    <xdr:to>
      <xdr:col>1</xdr:col>
      <xdr:colOff>2419350</xdr:colOff>
      <xdr:row>5</xdr:row>
      <xdr:rowOff>38100</xdr:rowOff>
    </xdr:to>
    <xdr:grpSp>
      <xdr:nvGrpSpPr>
        <xdr:cNvPr id="3119" name="Group 47">
          <a:hlinkClick xmlns:r="http://schemas.openxmlformats.org/officeDocument/2006/relationships" r:id="rId11"/>
        </xdr:cNvPr>
        <xdr:cNvGrpSpPr>
          <a:grpSpLocks/>
        </xdr:cNvGrpSpPr>
      </xdr:nvGrpSpPr>
      <xdr:grpSpPr bwMode="auto">
        <a:xfrm>
          <a:off x="266700" y="857250"/>
          <a:ext cx="2305050" cy="285750"/>
          <a:chOff x="34" y="319"/>
          <a:chExt cx="312" cy="3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120" name="Button 48" hidden="1">
                <a:extLst>
                  <a:ext uri="{63B3BB69-23CF-44E3-9099-C40C66FF867C}">
                    <a14:compatExt spid="_x0000_s3120"/>
                  </a:ext>
                </a:extLst>
              </xdr:cNvPr>
              <xdr:cNvSpPr/>
            </xdr:nvSpPr>
            <xdr:spPr bwMode="auto">
              <a:xfrm>
                <a:off x="34" y="319"/>
                <a:ext cx="312" cy="3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3121" name="Text Box 49"/>
          <xdr:cNvSpPr txBox="1">
            <a:spLocks noChangeArrowheads="1"/>
          </xdr:cNvSpPr>
        </xdr:nvSpPr>
        <xdr:spPr bwMode="auto">
          <a:xfrm>
            <a:off x="36" y="326"/>
            <a:ext cx="31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Ausgabe junger Aktien</a:t>
            </a:r>
          </a:p>
        </xdr:txBody>
      </xdr:sp>
    </xdr:grpSp>
    <xdr:clientData/>
  </xdr:twoCellAnchor>
  <xdr:twoCellAnchor>
    <xdr:from>
      <xdr:col>1</xdr:col>
      <xdr:colOff>104775</xdr:colOff>
      <xdr:row>6</xdr:row>
      <xdr:rowOff>9525</xdr:rowOff>
    </xdr:from>
    <xdr:to>
      <xdr:col>1</xdr:col>
      <xdr:colOff>2409825</xdr:colOff>
      <xdr:row>7</xdr:row>
      <xdr:rowOff>133350</xdr:rowOff>
    </xdr:to>
    <xdr:grpSp>
      <xdr:nvGrpSpPr>
        <xdr:cNvPr id="3122" name="Group 50">
          <a:hlinkClick xmlns:r="http://schemas.openxmlformats.org/officeDocument/2006/relationships" r:id="rId12"/>
        </xdr:cNvPr>
        <xdr:cNvGrpSpPr>
          <a:grpSpLocks/>
        </xdr:cNvGrpSpPr>
      </xdr:nvGrpSpPr>
      <xdr:grpSpPr bwMode="auto">
        <a:xfrm>
          <a:off x="257175" y="1276350"/>
          <a:ext cx="2305050" cy="285750"/>
          <a:chOff x="36" y="382"/>
          <a:chExt cx="312" cy="3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123" name="Button 51" hidden="1">
                <a:extLst>
                  <a:ext uri="{63B3BB69-23CF-44E3-9099-C40C66FF867C}">
                    <a14:compatExt spid="_x0000_s3123"/>
                  </a:ext>
                </a:extLst>
              </xdr:cNvPr>
              <xdr:cNvSpPr/>
            </xdr:nvSpPr>
            <xdr:spPr bwMode="auto">
              <a:xfrm>
                <a:off x="36" y="382"/>
                <a:ext cx="312" cy="3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3124" name="Text Box 52"/>
          <xdr:cNvSpPr txBox="1">
            <a:spLocks noChangeArrowheads="1"/>
          </xdr:cNvSpPr>
        </xdr:nvSpPr>
        <xdr:spPr bwMode="auto">
          <a:xfrm>
            <a:off x="38" y="389"/>
            <a:ext cx="31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OHG-Gewinnverteilung</a:t>
            </a:r>
          </a:p>
        </xdr:txBody>
      </xdr:sp>
    </xdr:grpSp>
    <xdr:clientData/>
  </xdr:twoCellAnchor>
  <xdr:twoCellAnchor>
    <xdr:from>
      <xdr:col>1</xdr:col>
      <xdr:colOff>2686050</xdr:colOff>
      <xdr:row>3</xdr:row>
      <xdr:rowOff>66675</xdr:rowOff>
    </xdr:from>
    <xdr:to>
      <xdr:col>3</xdr:col>
      <xdr:colOff>1533525</xdr:colOff>
      <xdr:row>5</xdr:row>
      <xdr:rowOff>28575</xdr:rowOff>
    </xdr:to>
    <xdr:grpSp>
      <xdr:nvGrpSpPr>
        <xdr:cNvPr id="3125" name="Group 53">
          <a:hlinkClick xmlns:r="http://schemas.openxmlformats.org/officeDocument/2006/relationships" r:id="rId13"/>
        </xdr:cNvPr>
        <xdr:cNvGrpSpPr>
          <a:grpSpLocks/>
        </xdr:cNvGrpSpPr>
      </xdr:nvGrpSpPr>
      <xdr:grpSpPr bwMode="auto">
        <a:xfrm>
          <a:off x="2838450" y="847725"/>
          <a:ext cx="2305050" cy="285750"/>
          <a:chOff x="375" y="258"/>
          <a:chExt cx="312" cy="3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126" name="Button 54" hidden="1">
                <a:extLst>
                  <a:ext uri="{63B3BB69-23CF-44E3-9099-C40C66FF867C}">
                    <a14:compatExt spid="_x0000_s3126"/>
                  </a:ext>
                </a:extLst>
              </xdr:cNvPr>
              <xdr:cNvSpPr/>
            </xdr:nvSpPr>
            <xdr:spPr bwMode="auto">
              <a:xfrm>
                <a:off x="375" y="258"/>
                <a:ext cx="312" cy="3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3127" name="Text Box 55"/>
          <xdr:cNvSpPr txBox="1">
            <a:spLocks noChangeArrowheads="1"/>
          </xdr:cNvSpPr>
        </xdr:nvSpPr>
        <xdr:spPr bwMode="auto">
          <a:xfrm>
            <a:off x="377" y="265"/>
            <a:ext cx="31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Nutzwertanalyse</a:t>
            </a:r>
          </a:p>
        </xdr:txBody>
      </xdr:sp>
    </xdr:grpSp>
    <xdr:clientData/>
  </xdr:twoCellAnchor>
  <xdr:twoCellAnchor>
    <xdr:from>
      <xdr:col>1</xdr:col>
      <xdr:colOff>2676525</xdr:colOff>
      <xdr:row>6</xdr:row>
      <xdr:rowOff>19050</xdr:rowOff>
    </xdr:from>
    <xdr:to>
      <xdr:col>3</xdr:col>
      <xdr:colOff>1533525</xdr:colOff>
      <xdr:row>7</xdr:row>
      <xdr:rowOff>142875</xdr:rowOff>
    </xdr:to>
    <xdr:grpSp>
      <xdr:nvGrpSpPr>
        <xdr:cNvPr id="3128" name="Group 56">
          <a:hlinkClick xmlns:r="http://schemas.openxmlformats.org/officeDocument/2006/relationships" r:id="rId14"/>
        </xdr:cNvPr>
        <xdr:cNvGrpSpPr>
          <a:grpSpLocks/>
        </xdr:cNvGrpSpPr>
      </xdr:nvGrpSpPr>
      <xdr:grpSpPr bwMode="auto">
        <a:xfrm>
          <a:off x="2828925" y="1285875"/>
          <a:ext cx="2314575" cy="285750"/>
          <a:chOff x="374" y="318"/>
          <a:chExt cx="312" cy="3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129" name="Button 57" hidden="1">
                <a:extLst>
                  <a:ext uri="{63B3BB69-23CF-44E3-9099-C40C66FF867C}">
                    <a14:compatExt spid="_x0000_s3129"/>
                  </a:ext>
                </a:extLst>
              </xdr:cNvPr>
              <xdr:cNvSpPr/>
            </xdr:nvSpPr>
            <xdr:spPr bwMode="auto">
              <a:xfrm>
                <a:off x="374" y="318"/>
                <a:ext cx="312" cy="3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3130" name="Text Box 58"/>
          <xdr:cNvSpPr txBox="1">
            <a:spLocks noChangeArrowheads="1"/>
          </xdr:cNvSpPr>
        </xdr:nvSpPr>
        <xdr:spPr bwMode="auto">
          <a:xfrm>
            <a:off x="376" y="325"/>
            <a:ext cx="31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Portfolioanalyse</a:t>
            </a:r>
          </a:p>
        </xdr:txBody>
      </xdr:sp>
    </xdr:grpSp>
    <xdr:clientData/>
  </xdr:twoCellAnchor>
  <xdr:twoCellAnchor>
    <xdr:from>
      <xdr:col>1</xdr:col>
      <xdr:colOff>0</xdr:colOff>
      <xdr:row>23</xdr:row>
      <xdr:rowOff>114300</xdr:rowOff>
    </xdr:from>
    <xdr:to>
      <xdr:col>4</xdr:col>
      <xdr:colOff>0</xdr:colOff>
      <xdr:row>39</xdr:row>
      <xdr:rowOff>9525</xdr:rowOff>
    </xdr:to>
    <xdr:sp macro="" textlink="">
      <xdr:nvSpPr>
        <xdr:cNvPr id="3131" name="Text Box 59"/>
        <xdr:cNvSpPr txBox="1">
          <a:spLocks noChangeArrowheads="1"/>
        </xdr:cNvSpPr>
      </xdr:nvSpPr>
      <xdr:spPr bwMode="auto">
        <a:xfrm>
          <a:off x="152400" y="4143375"/>
          <a:ext cx="5143500" cy="2486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>
            <a:alpha val="5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Benutzerhinweis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Aus der Erfahrung der Vorjahre ist deutlich geworden, dass die ausschließliche Wiederholung der im Skript dargestellten Übungen nicht immer erfolgreich ist.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Aus diesem Grunde liegt mit dieser Datei ein Instrument vor, mit dem Sie sich besser auf die Klausur vorbereiten können, da es Ihnen die Variation der (meisten klausurrelevanten) Aufgaben erleichtert.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Insbesondere die Darlehensberechnungen folgen reinen mathematischen Verfahren - berücksichtigen somit nicht besondere Gebührenmodelle oder die Preisanagabenverordnung. Die Nutzung (außerhalb der Klausurenvorbereitung) erfolgt somit ohne Gewähr.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Volker Castor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0</xdr:row>
      <xdr:rowOff>123825</xdr:rowOff>
    </xdr:from>
    <xdr:to>
      <xdr:col>1</xdr:col>
      <xdr:colOff>590550</xdr:colOff>
      <xdr:row>0</xdr:row>
      <xdr:rowOff>419100</xdr:rowOff>
    </xdr:to>
    <xdr:grpSp>
      <xdr:nvGrpSpPr>
        <xdr:cNvPr id="5121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47625" y="123825"/>
          <a:ext cx="1457325" cy="295275"/>
          <a:chOff x="11" y="15"/>
          <a:chExt cx="197" cy="3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2" name="Button 2" hidden="1">
                <a:extLst>
                  <a:ext uri="{63B3BB69-23CF-44E3-9099-C40C66FF867C}">
                    <a14:compatExt spid="_x0000_s5122"/>
                  </a:ext>
                </a:extLst>
              </xdr:cNvPr>
              <xdr:cNvSpPr/>
            </xdr:nvSpPr>
            <xdr:spPr bwMode="auto">
              <a:xfrm>
                <a:off x="11" y="15"/>
                <a:ext cx="197" cy="3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5123" name="Text Box 3"/>
          <xdr:cNvSpPr txBox="1">
            <a:spLocks noChangeArrowheads="1"/>
          </xdr:cNvSpPr>
        </xdr:nvSpPr>
        <xdr:spPr bwMode="auto">
          <a:xfrm>
            <a:off x="26" y="22"/>
            <a:ext cx="17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zurück zur Startseite</a:t>
            </a:r>
          </a:p>
        </xdr:txBody>
      </xdr:sp>
    </xdr:grp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0</xdr:row>
      <xdr:rowOff>57150</xdr:rowOff>
    </xdr:from>
    <xdr:to>
      <xdr:col>0</xdr:col>
      <xdr:colOff>1504950</xdr:colOff>
      <xdr:row>0</xdr:row>
      <xdr:rowOff>361950</xdr:rowOff>
    </xdr:to>
    <xdr:grpSp>
      <xdr:nvGrpSpPr>
        <xdr:cNvPr id="17409" name="Group 1025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47625" y="57150"/>
          <a:ext cx="1457325" cy="304800"/>
          <a:chOff x="11" y="15"/>
          <a:chExt cx="197" cy="3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7410" name="Button 1026" hidden="1">
                <a:extLst>
                  <a:ext uri="{63B3BB69-23CF-44E3-9099-C40C66FF867C}">
                    <a14:compatExt spid="_x0000_s17410"/>
                  </a:ext>
                </a:extLst>
              </xdr:cNvPr>
              <xdr:cNvSpPr/>
            </xdr:nvSpPr>
            <xdr:spPr bwMode="auto">
              <a:xfrm>
                <a:off x="11" y="15"/>
                <a:ext cx="197" cy="3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17411" name="Text Box 1027"/>
          <xdr:cNvSpPr txBox="1">
            <a:spLocks noChangeArrowheads="1"/>
          </xdr:cNvSpPr>
        </xdr:nvSpPr>
        <xdr:spPr bwMode="auto">
          <a:xfrm>
            <a:off x="26" y="22"/>
            <a:ext cx="178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zurück zur Startseite</a:t>
            </a:r>
          </a:p>
        </xdr:txBody>
      </xdr:sp>
    </xdr:grpSp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123825</xdr:colOff>
      <xdr:row>0</xdr:row>
      <xdr:rowOff>200025</xdr:rowOff>
    </xdr:from>
    <xdr:to>
      <xdr:col>0</xdr:col>
      <xdr:colOff>1581150</xdr:colOff>
      <xdr:row>0</xdr:row>
      <xdr:rowOff>504825</xdr:rowOff>
    </xdr:to>
    <xdr:grpSp>
      <xdr:nvGrpSpPr>
        <xdr:cNvPr id="13313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23825" y="200025"/>
          <a:ext cx="1457325" cy="304800"/>
          <a:chOff x="11" y="15"/>
          <a:chExt cx="197" cy="3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3314" name="Button 2" hidden="1">
                <a:extLst>
                  <a:ext uri="{63B3BB69-23CF-44E3-9099-C40C66FF867C}">
                    <a14:compatExt spid="_x0000_s13314"/>
                  </a:ext>
                </a:extLst>
              </xdr:cNvPr>
              <xdr:cNvSpPr/>
            </xdr:nvSpPr>
            <xdr:spPr bwMode="auto">
              <a:xfrm>
                <a:off x="11" y="15"/>
                <a:ext cx="197" cy="3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13315" name="Text Box 3"/>
          <xdr:cNvSpPr txBox="1">
            <a:spLocks noChangeArrowheads="1"/>
          </xdr:cNvSpPr>
        </xdr:nvSpPr>
        <xdr:spPr bwMode="auto">
          <a:xfrm>
            <a:off x="26" y="22"/>
            <a:ext cx="178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zurück zur Startseite</a:t>
            </a:r>
          </a:p>
        </xdr:txBody>
      </xdr:sp>
    </xdr:grp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0</xdr:row>
      <xdr:rowOff>123825</xdr:rowOff>
    </xdr:from>
    <xdr:to>
      <xdr:col>0</xdr:col>
      <xdr:colOff>1504950</xdr:colOff>
      <xdr:row>0</xdr:row>
      <xdr:rowOff>428625</xdr:rowOff>
    </xdr:to>
    <xdr:grpSp>
      <xdr:nvGrpSpPr>
        <xdr:cNvPr id="14337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47625" y="123825"/>
          <a:ext cx="1457325" cy="304800"/>
          <a:chOff x="11" y="15"/>
          <a:chExt cx="197" cy="3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338" name="Button 2" hidden="1">
                <a:extLst>
                  <a:ext uri="{63B3BB69-23CF-44E3-9099-C40C66FF867C}">
                    <a14:compatExt spid="_x0000_s14338"/>
                  </a:ext>
                </a:extLst>
              </xdr:cNvPr>
              <xdr:cNvSpPr/>
            </xdr:nvSpPr>
            <xdr:spPr bwMode="auto">
              <a:xfrm>
                <a:off x="11" y="15"/>
                <a:ext cx="197" cy="3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14339" name="Text Box 3"/>
          <xdr:cNvSpPr txBox="1">
            <a:spLocks noChangeArrowheads="1"/>
          </xdr:cNvSpPr>
        </xdr:nvSpPr>
        <xdr:spPr bwMode="auto">
          <a:xfrm>
            <a:off x="26" y="22"/>
            <a:ext cx="178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zurück zur Startseite</a:t>
            </a:r>
          </a:p>
        </xdr:txBody>
      </xdr:sp>
    </xdr:grp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0</xdr:row>
      <xdr:rowOff>123825</xdr:rowOff>
    </xdr:from>
    <xdr:to>
      <xdr:col>1</xdr:col>
      <xdr:colOff>1123950</xdr:colOff>
      <xdr:row>2</xdr:row>
      <xdr:rowOff>95250</xdr:rowOff>
    </xdr:to>
    <xdr:grpSp>
      <xdr:nvGrpSpPr>
        <xdr:cNvPr id="15361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47625" y="123825"/>
          <a:ext cx="1466850" cy="295275"/>
          <a:chOff x="11" y="15"/>
          <a:chExt cx="197" cy="3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5362" name="Button 2" hidden="1">
                <a:extLst>
                  <a:ext uri="{63B3BB69-23CF-44E3-9099-C40C66FF867C}">
                    <a14:compatExt spid="_x0000_s15362"/>
                  </a:ext>
                </a:extLst>
              </xdr:cNvPr>
              <xdr:cNvSpPr/>
            </xdr:nvSpPr>
            <xdr:spPr bwMode="auto">
              <a:xfrm>
                <a:off x="11" y="15"/>
                <a:ext cx="197" cy="3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15363" name="Text Box 3"/>
          <xdr:cNvSpPr txBox="1">
            <a:spLocks noChangeArrowheads="1"/>
          </xdr:cNvSpPr>
        </xdr:nvSpPr>
        <xdr:spPr bwMode="auto">
          <a:xfrm>
            <a:off x="28" y="22"/>
            <a:ext cx="176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zurück zur Startseite</a:t>
            </a:r>
          </a:p>
        </xdr:txBody>
      </xdr:sp>
    </xdr:grpSp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133350</xdr:rowOff>
    </xdr:from>
    <xdr:to>
      <xdr:col>2</xdr:col>
      <xdr:colOff>428625</xdr:colOff>
      <xdr:row>0</xdr:row>
      <xdr:rowOff>428625</xdr:rowOff>
    </xdr:to>
    <xdr:grpSp>
      <xdr:nvGrpSpPr>
        <xdr:cNvPr id="18433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76200" y="133350"/>
          <a:ext cx="1447799" cy="295275"/>
          <a:chOff x="11" y="15"/>
          <a:chExt cx="197" cy="3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8434" name="Button 2" hidden="1">
                <a:extLst>
                  <a:ext uri="{63B3BB69-23CF-44E3-9099-C40C66FF867C}">
                    <a14:compatExt spid="_x0000_s18434"/>
                  </a:ext>
                </a:extLst>
              </xdr:cNvPr>
              <xdr:cNvSpPr/>
            </xdr:nvSpPr>
            <xdr:spPr bwMode="auto">
              <a:xfrm>
                <a:off x="11" y="15"/>
                <a:ext cx="197" cy="3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18435" name="Text Box 3"/>
          <xdr:cNvSpPr txBox="1">
            <a:spLocks noChangeArrowheads="1"/>
          </xdr:cNvSpPr>
        </xdr:nvSpPr>
        <xdr:spPr bwMode="auto">
          <a:xfrm>
            <a:off x="27" y="22"/>
            <a:ext cx="17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zurück zur Startseite</a:t>
            </a:r>
          </a:p>
        </xdr:txBody>
      </xdr:sp>
    </xdr:grpSp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0</xdr:row>
      <xdr:rowOff>123825</xdr:rowOff>
    </xdr:from>
    <xdr:to>
      <xdr:col>1</xdr:col>
      <xdr:colOff>733425</xdr:colOff>
      <xdr:row>0</xdr:row>
      <xdr:rowOff>419100</xdr:rowOff>
    </xdr:to>
    <xdr:grpSp>
      <xdr:nvGrpSpPr>
        <xdr:cNvPr id="19457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47625" y="123825"/>
          <a:ext cx="1457325" cy="295275"/>
          <a:chOff x="11" y="15"/>
          <a:chExt cx="197" cy="3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9458" name="Button 2" hidden="1">
                <a:extLst>
                  <a:ext uri="{63B3BB69-23CF-44E3-9099-C40C66FF867C}">
                    <a14:compatExt spid="_x0000_s19458"/>
                  </a:ext>
                </a:extLst>
              </xdr:cNvPr>
              <xdr:cNvSpPr/>
            </xdr:nvSpPr>
            <xdr:spPr bwMode="auto">
              <a:xfrm>
                <a:off x="11" y="15"/>
                <a:ext cx="197" cy="3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19459" name="Text Box 3"/>
          <xdr:cNvSpPr txBox="1">
            <a:spLocks noChangeArrowheads="1"/>
          </xdr:cNvSpPr>
        </xdr:nvSpPr>
        <xdr:spPr bwMode="auto">
          <a:xfrm>
            <a:off x="26" y="22"/>
            <a:ext cx="17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zurück zur Startseite</a:t>
            </a:r>
          </a:p>
        </xdr:txBody>
      </xdr:sp>
    </xdr:grpSp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0</xdr:row>
      <xdr:rowOff>123825</xdr:rowOff>
    </xdr:from>
    <xdr:to>
      <xdr:col>1</xdr:col>
      <xdr:colOff>990600</xdr:colOff>
      <xdr:row>0</xdr:row>
      <xdr:rowOff>419100</xdr:rowOff>
    </xdr:to>
    <xdr:grpSp>
      <xdr:nvGrpSpPr>
        <xdr:cNvPr id="20481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47625" y="123825"/>
          <a:ext cx="1457325" cy="295275"/>
          <a:chOff x="11" y="15"/>
          <a:chExt cx="197" cy="3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82" name="Button 2" hidden="1">
                <a:extLst>
                  <a:ext uri="{63B3BB69-23CF-44E3-9099-C40C66FF867C}">
                    <a14:compatExt spid="_x0000_s20482"/>
                  </a:ext>
                </a:extLst>
              </xdr:cNvPr>
              <xdr:cNvSpPr/>
            </xdr:nvSpPr>
            <xdr:spPr bwMode="auto">
              <a:xfrm>
                <a:off x="11" y="15"/>
                <a:ext cx="197" cy="3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20483" name="Text Box 3"/>
          <xdr:cNvSpPr txBox="1">
            <a:spLocks noChangeArrowheads="1"/>
          </xdr:cNvSpPr>
        </xdr:nvSpPr>
        <xdr:spPr bwMode="auto">
          <a:xfrm>
            <a:off x="26" y="22"/>
            <a:ext cx="17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zurück zur Startseite</a:t>
            </a:r>
          </a:p>
        </xdr:txBody>
      </xdr:sp>
    </xdr:grpSp>
    <xdr:clientData fPrintsWithSheet="0"/>
  </xdr:twoCellAnchor>
  <xdr:twoCellAnchor>
    <xdr:from>
      <xdr:col>0</xdr:col>
      <xdr:colOff>200025</xdr:colOff>
      <xdr:row>16</xdr:row>
      <xdr:rowOff>104775</xdr:rowOff>
    </xdr:from>
    <xdr:to>
      <xdr:col>3</xdr:col>
      <xdr:colOff>933450</xdr:colOff>
      <xdr:row>39</xdr:row>
      <xdr:rowOff>47625</xdr:rowOff>
    </xdr:to>
    <xdr:graphicFrame macro="">
      <xdr:nvGraphicFramePr>
        <xdr:cNvPr id="20484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39</xdr:row>
      <xdr:rowOff>85725</xdr:rowOff>
    </xdr:from>
    <xdr:to>
      <xdr:col>5</xdr:col>
      <xdr:colOff>0</xdr:colOff>
      <xdr:row>69</xdr:row>
      <xdr:rowOff>123825</xdr:rowOff>
    </xdr:to>
    <xdr:graphicFrame macro="">
      <xdr:nvGraphicFramePr>
        <xdr:cNvPr id="1025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47625</xdr:colOff>
      <xdr:row>0</xdr:row>
      <xdr:rowOff>123825</xdr:rowOff>
    </xdr:from>
    <xdr:to>
      <xdr:col>0</xdr:col>
      <xdr:colOff>1514475</xdr:colOff>
      <xdr:row>0</xdr:row>
      <xdr:rowOff>428625</xdr:rowOff>
    </xdr:to>
    <xdr:grpSp>
      <xdr:nvGrpSpPr>
        <xdr:cNvPr id="1029" name="Group 5">
          <a:hlinkClick xmlns:r="http://schemas.openxmlformats.org/officeDocument/2006/relationships" r:id="rId2"/>
        </xdr:cNvPr>
        <xdr:cNvGrpSpPr>
          <a:grpSpLocks/>
        </xdr:cNvGrpSpPr>
      </xdr:nvGrpSpPr>
      <xdr:grpSpPr bwMode="auto">
        <a:xfrm>
          <a:off x="47625" y="123825"/>
          <a:ext cx="1466850" cy="304800"/>
          <a:chOff x="11" y="15"/>
          <a:chExt cx="197" cy="3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Button 3" hidden="1">
                <a:extLst>
                  <a:ext uri="{63B3BB69-23CF-44E3-9099-C40C66FF867C}">
                    <a14:compatExt spid="_x0000_s1027"/>
                  </a:ext>
                </a:extLst>
              </xdr:cNvPr>
              <xdr:cNvSpPr/>
            </xdr:nvSpPr>
            <xdr:spPr bwMode="auto">
              <a:xfrm>
                <a:off x="11" y="15"/>
                <a:ext cx="197" cy="3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29" y="25"/>
            <a:ext cx="176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zurück zur Startseite</a:t>
            </a:r>
          </a:p>
        </xdr:txBody>
      </xdr:sp>
    </xdr:grp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0</xdr:row>
      <xdr:rowOff>123825</xdr:rowOff>
    </xdr:from>
    <xdr:to>
      <xdr:col>0</xdr:col>
      <xdr:colOff>1514475</xdr:colOff>
      <xdr:row>0</xdr:row>
      <xdr:rowOff>428625</xdr:rowOff>
    </xdr:to>
    <xdr:grpSp>
      <xdr:nvGrpSpPr>
        <xdr:cNvPr id="7169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47625" y="123825"/>
          <a:ext cx="1466850" cy="304800"/>
          <a:chOff x="11" y="15"/>
          <a:chExt cx="197" cy="3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0" name="Button 2" hidden="1">
                <a:extLst>
                  <a:ext uri="{63B3BB69-23CF-44E3-9099-C40C66FF867C}">
                    <a14:compatExt spid="_x0000_s7170"/>
                  </a:ext>
                </a:extLst>
              </xdr:cNvPr>
              <xdr:cNvSpPr/>
            </xdr:nvSpPr>
            <xdr:spPr bwMode="auto">
              <a:xfrm>
                <a:off x="11" y="15"/>
                <a:ext cx="197" cy="3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7171" name="Text Box 3"/>
          <xdr:cNvSpPr txBox="1">
            <a:spLocks noChangeArrowheads="1"/>
          </xdr:cNvSpPr>
        </xdr:nvSpPr>
        <xdr:spPr bwMode="auto">
          <a:xfrm>
            <a:off x="30" y="25"/>
            <a:ext cx="177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zurück zur Startseite</a:t>
            </a:r>
          </a:p>
        </xdr:txBody>
      </xdr:sp>
    </xdr:grpSp>
    <xdr:clientData fPrintsWithSheet="0"/>
  </xdr:twoCellAnchor>
  <xdr:twoCellAnchor>
    <xdr:from>
      <xdr:col>0</xdr:col>
      <xdr:colOff>85725</xdr:colOff>
      <xdr:row>41</xdr:row>
      <xdr:rowOff>142875</xdr:rowOff>
    </xdr:from>
    <xdr:to>
      <xdr:col>4</xdr:col>
      <xdr:colOff>1095375</xdr:colOff>
      <xdr:row>72</xdr:row>
      <xdr:rowOff>28575</xdr:rowOff>
    </xdr:to>
    <xdr:graphicFrame macro="">
      <xdr:nvGraphicFramePr>
        <xdr:cNvPr id="7174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0</xdr:row>
      <xdr:rowOff>123825</xdr:rowOff>
    </xdr:from>
    <xdr:to>
      <xdr:col>1</xdr:col>
      <xdr:colOff>723900</xdr:colOff>
      <xdr:row>0</xdr:row>
      <xdr:rowOff>419100</xdr:rowOff>
    </xdr:to>
    <xdr:grpSp>
      <xdr:nvGrpSpPr>
        <xdr:cNvPr id="8193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47625" y="123825"/>
          <a:ext cx="1438275" cy="295275"/>
          <a:chOff x="11" y="15"/>
          <a:chExt cx="197" cy="3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4" name="Button 2" hidden="1">
                <a:extLst>
                  <a:ext uri="{63B3BB69-23CF-44E3-9099-C40C66FF867C}">
                    <a14:compatExt spid="_x0000_s8194"/>
                  </a:ext>
                </a:extLst>
              </xdr:cNvPr>
              <xdr:cNvSpPr/>
            </xdr:nvSpPr>
            <xdr:spPr bwMode="auto">
              <a:xfrm>
                <a:off x="11" y="15"/>
                <a:ext cx="197" cy="3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8195" name="Text Box 3"/>
          <xdr:cNvSpPr txBox="1">
            <a:spLocks noChangeArrowheads="1"/>
          </xdr:cNvSpPr>
        </xdr:nvSpPr>
        <xdr:spPr bwMode="auto">
          <a:xfrm>
            <a:off x="27" y="22"/>
            <a:ext cx="180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zurück zur Startseite</a:t>
            </a:r>
          </a:p>
        </xdr:txBody>
      </xdr:sp>
    </xdr:grp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0</xdr:row>
      <xdr:rowOff>152400</xdr:rowOff>
    </xdr:from>
    <xdr:to>
      <xdr:col>2</xdr:col>
      <xdr:colOff>38100</xdr:colOff>
      <xdr:row>0</xdr:row>
      <xdr:rowOff>457200</xdr:rowOff>
    </xdr:to>
    <xdr:grpSp>
      <xdr:nvGrpSpPr>
        <xdr:cNvPr id="9220" name="Group 4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14300" y="152400"/>
          <a:ext cx="1447799" cy="304800"/>
          <a:chOff x="11" y="15"/>
          <a:chExt cx="197" cy="3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21" name="Button 5" hidden="1">
                <a:extLst>
                  <a:ext uri="{63B3BB69-23CF-44E3-9099-C40C66FF867C}">
                    <a14:compatExt spid="_x0000_s9221"/>
                  </a:ext>
                </a:extLst>
              </xdr:cNvPr>
              <xdr:cNvSpPr/>
            </xdr:nvSpPr>
            <xdr:spPr bwMode="auto">
              <a:xfrm>
                <a:off x="11" y="15"/>
                <a:ext cx="197" cy="3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9222" name="Text Box 6"/>
          <xdr:cNvSpPr txBox="1">
            <a:spLocks noChangeArrowheads="1"/>
          </xdr:cNvSpPr>
        </xdr:nvSpPr>
        <xdr:spPr bwMode="auto">
          <a:xfrm>
            <a:off x="27" y="22"/>
            <a:ext cx="178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zurück zur Startseite</a:t>
            </a:r>
          </a:p>
        </xdr:txBody>
      </xdr:sp>
    </xdr:grp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0</xdr:row>
      <xdr:rowOff>171450</xdr:rowOff>
    </xdr:from>
    <xdr:to>
      <xdr:col>1</xdr:col>
      <xdr:colOff>85725</xdr:colOff>
      <xdr:row>0</xdr:row>
      <xdr:rowOff>476250</xdr:rowOff>
    </xdr:to>
    <xdr:grpSp>
      <xdr:nvGrpSpPr>
        <xdr:cNvPr id="10241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47625" y="171450"/>
          <a:ext cx="1466850" cy="304800"/>
          <a:chOff x="11" y="15"/>
          <a:chExt cx="197" cy="3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2" name="Button 2" hidden="1">
                <a:extLst>
                  <a:ext uri="{63B3BB69-23CF-44E3-9099-C40C66FF867C}">
                    <a14:compatExt spid="_x0000_s10242"/>
                  </a:ext>
                </a:extLst>
              </xdr:cNvPr>
              <xdr:cNvSpPr/>
            </xdr:nvSpPr>
            <xdr:spPr bwMode="auto">
              <a:xfrm>
                <a:off x="11" y="15"/>
                <a:ext cx="197" cy="3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10243" name="Text Box 3"/>
          <xdr:cNvSpPr txBox="1">
            <a:spLocks noChangeArrowheads="1"/>
          </xdr:cNvSpPr>
        </xdr:nvSpPr>
        <xdr:spPr bwMode="auto">
          <a:xfrm>
            <a:off x="28" y="22"/>
            <a:ext cx="176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zurück zur Startseite</a:t>
            </a:r>
          </a:p>
        </xdr:txBody>
      </xdr:sp>
    </xdr:grp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0</xdr:row>
      <xdr:rowOff>123825</xdr:rowOff>
    </xdr:from>
    <xdr:to>
      <xdr:col>1</xdr:col>
      <xdr:colOff>476250</xdr:colOff>
      <xdr:row>0</xdr:row>
      <xdr:rowOff>419100</xdr:rowOff>
    </xdr:to>
    <xdr:grpSp>
      <xdr:nvGrpSpPr>
        <xdr:cNvPr id="11265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47625" y="123825"/>
          <a:ext cx="1457325" cy="295275"/>
          <a:chOff x="11" y="15"/>
          <a:chExt cx="197" cy="3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6" name="Button 2" hidden="1">
                <a:extLst>
                  <a:ext uri="{63B3BB69-23CF-44E3-9099-C40C66FF867C}">
                    <a14:compatExt spid="_x0000_s11266"/>
                  </a:ext>
                </a:extLst>
              </xdr:cNvPr>
              <xdr:cNvSpPr/>
            </xdr:nvSpPr>
            <xdr:spPr bwMode="auto">
              <a:xfrm>
                <a:off x="11" y="15"/>
                <a:ext cx="197" cy="3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11267" name="Text Box 3"/>
          <xdr:cNvSpPr txBox="1">
            <a:spLocks noChangeArrowheads="1"/>
          </xdr:cNvSpPr>
        </xdr:nvSpPr>
        <xdr:spPr bwMode="auto">
          <a:xfrm>
            <a:off x="26" y="22"/>
            <a:ext cx="17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zurück zur Startseite</a:t>
            </a:r>
          </a:p>
        </xdr:txBody>
      </xdr:sp>
    </xdr:grp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0</xdr:row>
      <xdr:rowOff>123825</xdr:rowOff>
    </xdr:from>
    <xdr:to>
      <xdr:col>1</xdr:col>
      <xdr:colOff>28575</xdr:colOff>
      <xdr:row>0</xdr:row>
      <xdr:rowOff>419100</xdr:rowOff>
    </xdr:to>
    <xdr:grpSp>
      <xdr:nvGrpSpPr>
        <xdr:cNvPr id="12289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47625" y="123825"/>
          <a:ext cx="1457325" cy="295275"/>
          <a:chOff x="11" y="15"/>
          <a:chExt cx="197" cy="3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90" name="Button 2" hidden="1">
                <a:extLst>
                  <a:ext uri="{63B3BB69-23CF-44E3-9099-C40C66FF867C}">
                    <a14:compatExt spid="_x0000_s12290"/>
                  </a:ext>
                </a:extLst>
              </xdr:cNvPr>
              <xdr:cNvSpPr/>
            </xdr:nvSpPr>
            <xdr:spPr bwMode="auto">
              <a:xfrm>
                <a:off x="11" y="15"/>
                <a:ext cx="197" cy="3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12291" name="Text Box 3"/>
          <xdr:cNvSpPr txBox="1">
            <a:spLocks noChangeArrowheads="1"/>
          </xdr:cNvSpPr>
        </xdr:nvSpPr>
        <xdr:spPr bwMode="auto">
          <a:xfrm>
            <a:off x="26" y="22"/>
            <a:ext cx="178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zurück zur Startseite</a:t>
            </a:r>
          </a:p>
        </xdr:txBody>
      </xdr:sp>
    </xdr:grp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57150</xdr:colOff>
      <xdr:row>0</xdr:row>
      <xdr:rowOff>161925</xdr:rowOff>
    </xdr:from>
    <xdr:to>
      <xdr:col>1</xdr:col>
      <xdr:colOff>609600</xdr:colOff>
      <xdr:row>0</xdr:row>
      <xdr:rowOff>466725</xdr:rowOff>
    </xdr:to>
    <xdr:grpSp>
      <xdr:nvGrpSpPr>
        <xdr:cNvPr id="4100" name="Group 4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57150" y="161925"/>
          <a:ext cx="1466850" cy="304800"/>
          <a:chOff x="11" y="15"/>
          <a:chExt cx="197" cy="3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1" name="Button 5" hidden="1">
                <a:extLst>
                  <a:ext uri="{63B3BB69-23CF-44E3-9099-C40C66FF867C}">
                    <a14:compatExt spid="_x0000_s4101"/>
                  </a:ext>
                </a:extLst>
              </xdr:cNvPr>
              <xdr:cNvSpPr/>
            </xdr:nvSpPr>
            <xdr:spPr bwMode="auto">
              <a:xfrm>
                <a:off x="11" y="15"/>
                <a:ext cx="197" cy="38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18288" tIns="0" rIns="0" bIns="0" anchor="ctr" upright="1"/>
              <a:lstStyle/>
              <a:p>
                <a:pPr algn="ctr" rtl="0">
                  <a:defRPr sz="1000"/>
                </a:pPr>
                <a:endParaRPr lang="de-DE"/>
              </a:p>
            </xdr:txBody>
          </xdr:sp>
        </mc:Choice>
        <mc:Fallback/>
      </mc:AlternateContent>
      <xdr:sp macro="" textlink="">
        <xdr:nvSpPr>
          <xdr:cNvPr id="4102" name="Text Box 6"/>
          <xdr:cNvSpPr txBox="1">
            <a:spLocks noChangeArrowheads="1"/>
          </xdr:cNvSpPr>
        </xdr:nvSpPr>
        <xdr:spPr bwMode="auto">
          <a:xfrm>
            <a:off x="28" y="22"/>
            <a:ext cx="176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de-DE" sz="10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zurück zur Startseite</a:t>
            </a:r>
          </a:p>
        </xdr:txBody>
      </xdr:sp>
    </xdr:grpSp>
    <xdr:clientData fPrintsWithSheet="0"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2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4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2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26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2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28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9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0.xml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7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8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9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0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1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B1:D23"/>
  <sheetViews>
    <sheetView showGridLines="0" showRowColHeaders="0" tabSelected="1" workbookViewId="0"/>
  </sheetViews>
  <sheetFormatPr baseColWidth="10" defaultColWidth="11.5703125" defaultRowHeight="12.75" x14ac:dyDescent="0.2"/>
  <cols>
    <col min="1" max="1" width="2.28515625" style="32" customWidth="1"/>
    <col min="2" max="2" width="45.7109375" style="32" customWidth="1"/>
    <col min="3" max="3" width="6.140625" style="32" customWidth="1"/>
    <col min="4" max="4" width="25.28515625" style="32" customWidth="1"/>
    <col min="5" max="16384" width="11.5703125" style="32"/>
  </cols>
  <sheetData>
    <row r="1" spans="2:4" ht="13.5" thickBot="1" x14ac:dyDescent="0.25"/>
    <row r="2" spans="2:4" s="33" customFormat="1" ht="35.1" customHeight="1" thickBot="1" x14ac:dyDescent="0.25">
      <c r="B2" s="220" t="s">
        <v>67</v>
      </c>
      <c r="C2" s="221"/>
      <c r="D2" s="222"/>
    </row>
    <row r="3" spans="2:4" ht="13.5" thickBot="1" x14ac:dyDescent="0.25"/>
    <row r="4" spans="2:4" x14ac:dyDescent="0.2">
      <c r="B4" s="160"/>
      <c r="C4" s="161"/>
      <c r="D4" s="162"/>
    </row>
    <row r="5" spans="2:4" x14ac:dyDescent="0.2">
      <c r="B5" s="163"/>
      <c r="C5" s="164"/>
      <c r="D5" s="165"/>
    </row>
    <row r="6" spans="2:4" x14ac:dyDescent="0.2">
      <c r="B6" s="163"/>
      <c r="C6" s="164"/>
      <c r="D6" s="165"/>
    </row>
    <row r="7" spans="2:4" x14ac:dyDescent="0.2">
      <c r="B7" s="163"/>
      <c r="C7" s="164"/>
      <c r="D7" s="165"/>
    </row>
    <row r="8" spans="2:4" x14ac:dyDescent="0.2">
      <c r="B8" s="163"/>
      <c r="C8" s="164"/>
      <c r="D8" s="165"/>
    </row>
    <row r="9" spans="2:4" x14ac:dyDescent="0.2">
      <c r="B9" s="163"/>
      <c r="C9" s="164"/>
      <c r="D9" s="165"/>
    </row>
    <row r="10" spans="2:4" x14ac:dyDescent="0.2">
      <c r="B10" s="163"/>
      <c r="C10" s="164"/>
      <c r="D10" s="165"/>
    </row>
    <row r="11" spans="2:4" x14ac:dyDescent="0.2">
      <c r="B11" s="163"/>
      <c r="C11" s="164"/>
      <c r="D11" s="165"/>
    </row>
    <row r="12" spans="2:4" x14ac:dyDescent="0.2">
      <c r="B12" s="163"/>
      <c r="C12" s="164"/>
      <c r="D12" s="165"/>
    </row>
    <row r="13" spans="2:4" x14ac:dyDescent="0.2">
      <c r="B13" s="163"/>
      <c r="C13" s="164"/>
      <c r="D13" s="165"/>
    </row>
    <row r="14" spans="2:4" x14ac:dyDescent="0.2">
      <c r="B14" s="163"/>
      <c r="C14" s="164"/>
      <c r="D14" s="165"/>
    </row>
    <row r="15" spans="2:4" x14ac:dyDescent="0.2">
      <c r="B15" s="163"/>
      <c r="C15" s="164"/>
      <c r="D15" s="165"/>
    </row>
    <row r="16" spans="2:4" x14ac:dyDescent="0.2">
      <c r="B16" s="163"/>
      <c r="C16" s="164"/>
      <c r="D16" s="165"/>
    </row>
    <row r="17" spans="2:4" x14ac:dyDescent="0.2">
      <c r="B17" s="163"/>
      <c r="C17" s="164"/>
      <c r="D17" s="165"/>
    </row>
    <row r="18" spans="2:4" x14ac:dyDescent="0.2">
      <c r="B18" s="163"/>
      <c r="C18" s="164"/>
      <c r="D18" s="165"/>
    </row>
    <row r="19" spans="2:4" x14ac:dyDescent="0.2">
      <c r="B19" s="163"/>
      <c r="C19" s="164"/>
      <c r="D19" s="165"/>
    </row>
    <row r="20" spans="2:4" x14ac:dyDescent="0.2">
      <c r="B20" s="163"/>
      <c r="C20" s="164"/>
      <c r="D20" s="165"/>
    </row>
    <row r="21" spans="2:4" x14ac:dyDescent="0.2">
      <c r="B21" s="163"/>
      <c r="C21" s="164"/>
      <c r="D21" s="165"/>
    </row>
    <row r="22" spans="2:4" x14ac:dyDescent="0.2">
      <c r="B22" s="163"/>
      <c r="C22" s="164"/>
      <c r="D22" s="165"/>
    </row>
    <row r="23" spans="2:4" ht="13.5" thickBot="1" x14ac:dyDescent="0.25">
      <c r="B23" s="190" t="s">
        <v>144</v>
      </c>
      <c r="C23" s="166"/>
      <c r="D23" s="167"/>
    </row>
  </sheetData>
  <sheetProtection password="BBA6" sheet="1" objects="1" scenarios="1"/>
  <mergeCells count="1">
    <mergeCell ref="B2:D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9" r:id="rId4" name="Button 57">
              <controlPr defaultSize="0" print="0" autoFill="0" autoPict="0">
                <anchor moveWithCells="1" sizeWithCells="1">
                  <from>
                    <xdr:col>1</xdr:col>
                    <xdr:colOff>2676525</xdr:colOff>
                    <xdr:row>6</xdr:row>
                    <xdr:rowOff>19050</xdr:rowOff>
                  </from>
                  <to>
                    <xdr:col>3</xdr:col>
                    <xdr:colOff>1533525</xdr:colOff>
                    <xdr:row>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" name="Button 54">
              <controlPr defaultSize="0" print="0" autoFill="0" autoPict="0">
                <anchor moveWithCells="1" sizeWithCells="1">
                  <from>
                    <xdr:col>1</xdr:col>
                    <xdr:colOff>2686050</xdr:colOff>
                    <xdr:row>3</xdr:row>
                    <xdr:rowOff>66675</xdr:rowOff>
                  </from>
                  <to>
                    <xdr:col>3</xdr:col>
                    <xdr:colOff>1533525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6" name="Button 51">
              <controlPr defaultSize="0" print="0" autoFill="0" autoPict="0">
                <anchor moveWithCells="1" sizeWithCells="1">
                  <from>
                    <xdr:col>1</xdr:col>
                    <xdr:colOff>104775</xdr:colOff>
                    <xdr:row>6</xdr:row>
                    <xdr:rowOff>9525</xdr:rowOff>
                  </from>
                  <to>
                    <xdr:col>1</xdr:col>
                    <xdr:colOff>2409825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7" name="Button 48">
              <controlPr defaultSize="0" print="0" autoFill="0" autoPict="0">
                <anchor moveWithCells="1" sizeWithCells="1">
                  <from>
                    <xdr:col>1</xdr:col>
                    <xdr:colOff>114300</xdr:colOff>
                    <xdr:row>3</xdr:row>
                    <xdr:rowOff>76200</xdr:rowOff>
                  </from>
                  <to>
                    <xdr:col>1</xdr:col>
                    <xdr:colOff>2419350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8" name="Button 27">
              <controlPr defaultSize="0" print="0" autoFill="0" autoPict="0">
                <anchor moveWithCells="1" sizeWithCells="1">
                  <from>
                    <xdr:col>1</xdr:col>
                    <xdr:colOff>2695575</xdr:colOff>
                    <xdr:row>20</xdr:row>
                    <xdr:rowOff>114300</xdr:rowOff>
                  </from>
                  <to>
                    <xdr:col>3</xdr:col>
                    <xdr:colOff>1533525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9" name="Button 25">
              <controlPr defaultSize="0" print="0" autoFill="0" autoPict="0">
                <anchor moveWithCells="1" sizeWithCells="1">
                  <from>
                    <xdr:col>1</xdr:col>
                    <xdr:colOff>2686050</xdr:colOff>
                    <xdr:row>18</xdr:row>
                    <xdr:rowOff>19050</xdr:rowOff>
                  </from>
                  <to>
                    <xdr:col>3</xdr:col>
                    <xdr:colOff>1533525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0" name="Button 23">
              <controlPr defaultSize="0" print="0" autoFill="0" autoPict="0">
                <anchor moveWithCells="1" sizeWithCells="1">
                  <from>
                    <xdr:col>1</xdr:col>
                    <xdr:colOff>2686050</xdr:colOff>
                    <xdr:row>15</xdr:row>
                    <xdr:rowOff>85725</xdr:rowOff>
                  </from>
                  <to>
                    <xdr:col>3</xdr:col>
                    <xdr:colOff>1533525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1" name="Button 19">
              <controlPr defaultSize="0" print="0" autoFill="0" autoPict="0">
                <anchor moveWithCells="1" sizeWithCells="1">
                  <from>
                    <xdr:col>1</xdr:col>
                    <xdr:colOff>2676525</xdr:colOff>
                    <xdr:row>12</xdr:row>
                    <xdr:rowOff>38100</xdr:rowOff>
                  </from>
                  <to>
                    <xdr:col>3</xdr:col>
                    <xdr:colOff>1533525</xdr:colOff>
                    <xdr:row>14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2" name="Button 17">
              <controlPr defaultSize="0" print="0" autoFill="0" autoPict="0">
                <anchor moveWithCells="1" sizeWithCells="1">
                  <from>
                    <xdr:col>1</xdr:col>
                    <xdr:colOff>2676525</xdr:colOff>
                    <xdr:row>8</xdr:row>
                    <xdr:rowOff>142875</xdr:rowOff>
                  </from>
                  <to>
                    <xdr:col>3</xdr:col>
                    <xdr:colOff>1533525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3" name="Button 15">
              <controlPr defaultSize="0" print="0" autoFill="0" autoPict="0">
                <anchor moveWithCells="1" sizeWithCells="1">
                  <from>
                    <xdr:col>1</xdr:col>
                    <xdr:colOff>95250</xdr:colOff>
                    <xdr:row>16</xdr:row>
                    <xdr:rowOff>57150</xdr:rowOff>
                  </from>
                  <to>
                    <xdr:col>1</xdr:col>
                    <xdr:colOff>2409825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Button 13">
              <controlPr defaultSize="0" print="0" autoFill="0" autoPict="0">
                <anchor moveWithCells="1" sizeWithCells="1">
                  <from>
                    <xdr:col>1</xdr:col>
                    <xdr:colOff>85725</xdr:colOff>
                    <xdr:row>18</xdr:row>
                    <xdr:rowOff>133350</xdr:rowOff>
                  </from>
                  <to>
                    <xdr:col>1</xdr:col>
                    <xdr:colOff>2409825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Button 11">
              <controlPr defaultSize="0" print="0" autoFill="0" autoPict="0">
                <anchor moveWithCells="1" sizeWithCells="1">
                  <from>
                    <xdr:col>1</xdr:col>
                    <xdr:colOff>95250</xdr:colOff>
                    <xdr:row>13</xdr:row>
                    <xdr:rowOff>142875</xdr:rowOff>
                  </from>
                  <to>
                    <xdr:col>1</xdr:col>
                    <xdr:colOff>2409825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16" name="Button 5">
              <controlPr defaultSize="0" print="0" autoFill="0" autoPict="0">
                <anchor moveWithCells="1" sizeWithCells="1">
                  <from>
                    <xdr:col>1</xdr:col>
                    <xdr:colOff>104775</xdr:colOff>
                    <xdr:row>11</xdr:row>
                    <xdr:rowOff>47625</xdr:rowOff>
                  </from>
                  <to>
                    <xdr:col>1</xdr:col>
                    <xdr:colOff>2419350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" r:id="rId17" name="Button 1">
              <controlPr defaultSize="0" print="0" autoFill="0" autoPict="0">
                <anchor moveWithCells="1" sizeWithCells="1">
                  <from>
                    <xdr:col>1</xdr:col>
                    <xdr:colOff>104775</xdr:colOff>
                    <xdr:row>8</xdr:row>
                    <xdr:rowOff>123825</xdr:rowOff>
                  </from>
                  <to>
                    <xdr:col>1</xdr:col>
                    <xdr:colOff>2419350</xdr:colOff>
                    <xdr:row>10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0"/>
  <dimension ref="A1:G53"/>
  <sheetViews>
    <sheetView showGridLines="0" showRowColHeaders="0" workbookViewId="0"/>
  </sheetViews>
  <sheetFormatPr baseColWidth="10" defaultColWidth="11.5703125" defaultRowHeight="12" x14ac:dyDescent="0.2"/>
  <cols>
    <col min="1" max="1" width="13.7109375" style="63" customWidth="1"/>
    <col min="2" max="2" width="18.140625" style="63" customWidth="1"/>
    <col min="3" max="3" width="17.28515625" style="63" customWidth="1"/>
    <col min="4" max="4" width="4" style="63" customWidth="1"/>
    <col min="5" max="5" width="13.7109375" style="63" customWidth="1"/>
    <col min="6" max="7" width="12.7109375" style="63" customWidth="1"/>
    <col min="8" max="16384" width="11.5703125" style="63"/>
  </cols>
  <sheetData>
    <row r="1" spans="1:7" ht="52.15" customHeight="1" x14ac:dyDescent="0.2">
      <c r="A1" s="61"/>
      <c r="B1" s="62"/>
    </row>
    <row r="2" spans="1:7" s="57" customFormat="1" ht="15" x14ac:dyDescent="0.2">
      <c r="A2" s="55" t="s">
        <v>42</v>
      </c>
      <c r="B2" s="56"/>
      <c r="C2" s="56"/>
      <c r="D2" s="56"/>
      <c r="E2" s="56"/>
      <c r="F2" s="56"/>
      <c r="G2" s="56"/>
    </row>
    <row r="3" spans="1:7" ht="29.45" customHeight="1" x14ac:dyDescent="0.2"/>
    <row r="4" spans="1:7" x14ac:dyDescent="0.2">
      <c r="A4" s="111" t="s">
        <v>26</v>
      </c>
      <c r="B4" s="112">
        <v>35</v>
      </c>
      <c r="C4" s="113" t="s">
        <v>27</v>
      </c>
    </row>
    <row r="5" spans="1:7" x14ac:dyDescent="0.2">
      <c r="A5" s="114" t="s">
        <v>24</v>
      </c>
      <c r="B5" s="115">
        <v>9</v>
      </c>
      <c r="C5" s="116" t="s">
        <v>28</v>
      </c>
    </row>
    <row r="6" spans="1:7" x14ac:dyDescent="0.2">
      <c r="A6" s="117" t="s">
        <v>29</v>
      </c>
      <c r="B6" s="140">
        <f>1+(B5/100)</f>
        <v>1.0900000000000001</v>
      </c>
      <c r="C6" s="119"/>
    </row>
    <row r="8" spans="1:7" x14ac:dyDescent="0.2">
      <c r="A8" s="111" t="s">
        <v>30</v>
      </c>
      <c r="B8" s="112">
        <v>20</v>
      </c>
      <c r="C8" s="113" t="s">
        <v>27</v>
      </c>
    </row>
    <row r="9" spans="1:7" x14ac:dyDescent="0.2">
      <c r="A9" s="114" t="s">
        <v>31</v>
      </c>
      <c r="B9" s="115">
        <v>8000</v>
      </c>
      <c r="C9" s="116" t="s">
        <v>7</v>
      </c>
    </row>
    <row r="10" spans="1:7" x14ac:dyDescent="0.2">
      <c r="A10" s="114" t="s">
        <v>24</v>
      </c>
      <c r="B10" s="115">
        <v>10</v>
      </c>
      <c r="C10" s="116" t="s">
        <v>28</v>
      </c>
    </row>
    <row r="11" spans="1:7" x14ac:dyDescent="0.2">
      <c r="A11" s="117" t="s">
        <v>29</v>
      </c>
      <c r="B11" s="140">
        <f>1+(B10/100)</f>
        <v>1.1000000000000001</v>
      </c>
      <c r="C11" s="119"/>
      <c r="E11" s="120" t="s">
        <v>32</v>
      </c>
    </row>
    <row r="13" spans="1:7" x14ac:dyDescent="0.2">
      <c r="A13" s="121" t="s">
        <v>33</v>
      </c>
      <c r="B13" s="122">
        <f>$B$9*($B$11^(-1*$B$8))*((($B$11^$B$8)-1)/($B$11-1))</f>
        <v>68108.509758068452</v>
      </c>
      <c r="C13" s="113"/>
    </row>
    <row r="14" spans="1:7" x14ac:dyDescent="0.2">
      <c r="A14" s="114"/>
      <c r="B14" s="123"/>
      <c r="C14" s="116"/>
    </row>
    <row r="15" spans="1:7" x14ac:dyDescent="0.2">
      <c r="A15" s="124" t="s">
        <v>34</v>
      </c>
      <c r="B15" s="125">
        <f>(($B$6-1)/(($B$6^$B$4)-1))*$B$13</f>
        <v>315.73998184986277</v>
      </c>
      <c r="C15" s="119"/>
    </row>
    <row r="17" spans="1:7" ht="21" customHeight="1" x14ac:dyDescent="0.2">
      <c r="A17" s="229" t="s">
        <v>35</v>
      </c>
      <c r="B17" s="230"/>
      <c r="C17" s="231"/>
      <c r="E17" s="229" t="s">
        <v>36</v>
      </c>
      <c r="F17" s="230"/>
      <c r="G17" s="231"/>
    </row>
    <row r="18" spans="1:7" ht="24" x14ac:dyDescent="0.2">
      <c r="A18" s="92" t="s">
        <v>37</v>
      </c>
      <c r="B18" s="126" t="s">
        <v>38</v>
      </c>
      <c r="C18" s="127" t="s">
        <v>39</v>
      </c>
      <c r="D18" s="101"/>
      <c r="E18" s="126" t="s">
        <v>40</v>
      </c>
      <c r="F18" s="99" t="s">
        <v>30</v>
      </c>
      <c r="G18" s="99" t="s">
        <v>41</v>
      </c>
    </row>
    <row r="19" spans="1:7" x14ac:dyDescent="0.2">
      <c r="A19" s="128">
        <v>1</v>
      </c>
      <c r="B19" s="129">
        <f>$B$15</f>
        <v>315.73998184986277</v>
      </c>
      <c r="C19" s="129">
        <f>$B$15</f>
        <v>315.73998184986277</v>
      </c>
      <c r="E19" s="129">
        <f>$B$13</f>
        <v>68108.509758068452</v>
      </c>
      <c r="F19" s="131">
        <f>$B$9</f>
        <v>8000</v>
      </c>
      <c r="G19" s="131">
        <f>E19*($B$10/100)</f>
        <v>6810.8509758068458</v>
      </c>
    </row>
    <row r="20" spans="1:7" x14ac:dyDescent="0.2">
      <c r="A20" s="132">
        <f t="shared" ref="A20:A53" si="0">A19+1</f>
        <v>2</v>
      </c>
      <c r="B20" s="133">
        <f>(B19*$B$6)+$B$15</f>
        <v>659.89656206621316</v>
      </c>
      <c r="C20" s="133">
        <f>B20-B19</f>
        <v>344.15658021635039</v>
      </c>
      <c r="E20" s="133">
        <f>E19-F19+G19</f>
        <v>66919.360733875292</v>
      </c>
      <c r="F20" s="135">
        <f>$B$9</f>
        <v>8000</v>
      </c>
      <c r="G20" s="135">
        <f t="shared" ref="G20:G38" si="1">E20*($B$10/100)</f>
        <v>6691.9360733875292</v>
      </c>
    </row>
    <row r="21" spans="1:7" x14ac:dyDescent="0.2">
      <c r="A21" s="132">
        <f t="shared" si="0"/>
        <v>3</v>
      </c>
      <c r="B21" s="133">
        <f t="shared" ref="B21:B53" si="2">(B20*$B$6)+$B$15</f>
        <v>1035.0272345020351</v>
      </c>
      <c r="C21" s="133">
        <f t="shared" ref="C21:C52" si="3">B21-B20</f>
        <v>375.13067243582191</v>
      </c>
      <c r="E21" s="133">
        <f t="shared" ref="E21:E38" si="4">E20-F20+G20</f>
        <v>65611.296807262814</v>
      </c>
      <c r="F21" s="135">
        <f t="shared" ref="F21:F38" si="5">$B$9</f>
        <v>8000</v>
      </c>
      <c r="G21" s="135">
        <f t="shared" si="1"/>
        <v>6561.1296807262815</v>
      </c>
    </row>
    <row r="22" spans="1:7" x14ac:dyDescent="0.2">
      <c r="A22" s="132">
        <f t="shared" si="0"/>
        <v>4</v>
      </c>
      <c r="B22" s="133">
        <f t="shared" si="2"/>
        <v>1443.919667457081</v>
      </c>
      <c r="C22" s="133">
        <f t="shared" si="3"/>
        <v>408.89243295504593</v>
      </c>
      <c r="E22" s="133">
        <f t="shared" si="4"/>
        <v>64172.426487989098</v>
      </c>
      <c r="F22" s="135">
        <f t="shared" si="5"/>
        <v>8000</v>
      </c>
      <c r="G22" s="135">
        <f t="shared" si="1"/>
        <v>6417.2426487989105</v>
      </c>
    </row>
    <row r="23" spans="1:7" x14ac:dyDescent="0.2">
      <c r="A23" s="132">
        <f t="shared" si="0"/>
        <v>5</v>
      </c>
      <c r="B23" s="133">
        <f t="shared" si="2"/>
        <v>1889.6124193780811</v>
      </c>
      <c r="C23" s="133">
        <f t="shared" si="3"/>
        <v>445.69275192100008</v>
      </c>
      <c r="E23" s="133">
        <f t="shared" si="4"/>
        <v>62589.669136788012</v>
      </c>
      <c r="F23" s="135">
        <f t="shared" si="5"/>
        <v>8000</v>
      </c>
      <c r="G23" s="135">
        <f t="shared" si="1"/>
        <v>6258.9669136788016</v>
      </c>
    </row>
    <row r="24" spans="1:7" x14ac:dyDescent="0.2">
      <c r="A24" s="132">
        <f t="shared" si="0"/>
        <v>6</v>
      </c>
      <c r="B24" s="133">
        <f t="shared" si="2"/>
        <v>2375.4175189719713</v>
      </c>
      <c r="C24" s="133">
        <f t="shared" si="3"/>
        <v>485.80509959389019</v>
      </c>
      <c r="E24" s="133">
        <f t="shared" si="4"/>
        <v>60848.636050466812</v>
      </c>
      <c r="F24" s="135">
        <f t="shared" si="5"/>
        <v>8000</v>
      </c>
      <c r="G24" s="135">
        <f t="shared" si="1"/>
        <v>6084.8636050466812</v>
      </c>
    </row>
    <row r="25" spans="1:7" x14ac:dyDescent="0.2">
      <c r="A25" s="132">
        <f t="shared" si="0"/>
        <v>7</v>
      </c>
      <c r="B25" s="133">
        <f t="shared" si="2"/>
        <v>2904.9450775293117</v>
      </c>
      <c r="C25" s="133">
        <f t="shared" si="3"/>
        <v>529.5275585573404</v>
      </c>
      <c r="E25" s="133">
        <f t="shared" si="4"/>
        <v>58933.499655513493</v>
      </c>
      <c r="F25" s="135">
        <f t="shared" si="5"/>
        <v>8000</v>
      </c>
      <c r="G25" s="135">
        <f t="shared" si="1"/>
        <v>5893.3499655513497</v>
      </c>
    </row>
    <row r="26" spans="1:7" x14ac:dyDescent="0.2">
      <c r="A26" s="132">
        <f t="shared" si="0"/>
        <v>8</v>
      </c>
      <c r="B26" s="133">
        <f t="shared" si="2"/>
        <v>3482.1301163568128</v>
      </c>
      <c r="C26" s="133">
        <f t="shared" si="3"/>
        <v>577.1850388275011</v>
      </c>
      <c r="E26" s="133">
        <f t="shared" si="4"/>
        <v>56826.849621064845</v>
      </c>
      <c r="F26" s="135">
        <f t="shared" si="5"/>
        <v>8000</v>
      </c>
      <c r="G26" s="135">
        <f t="shared" si="1"/>
        <v>5682.6849621064848</v>
      </c>
    </row>
    <row r="27" spans="1:7" x14ac:dyDescent="0.2">
      <c r="A27" s="132">
        <f t="shared" si="0"/>
        <v>9</v>
      </c>
      <c r="B27" s="133">
        <f t="shared" si="2"/>
        <v>4111.2618086787888</v>
      </c>
      <c r="C27" s="133">
        <f t="shared" si="3"/>
        <v>629.13169232197606</v>
      </c>
      <c r="E27" s="133">
        <f t="shared" si="4"/>
        <v>54509.534583171328</v>
      </c>
      <c r="F27" s="135">
        <f t="shared" si="5"/>
        <v>8000</v>
      </c>
      <c r="G27" s="135">
        <f t="shared" si="1"/>
        <v>5450.9534583171335</v>
      </c>
    </row>
    <row r="28" spans="1:7" x14ac:dyDescent="0.2">
      <c r="A28" s="132">
        <f t="shared" si="0"/>
        <v>10</v>
      </c>
      <c r="B28" s="133">
        <f t="shared" si="2"/>
        <v>4797.0153533097427</v>
      </c>
      <c r="C28" s="133">
        <f t="shared" si="3"/>
        <v>685.75354463095391</v>
      </c>
      <c r="E28" s="133">
        <f t="shared" si="4"/>
        <v>51960.488041488461</v>
      </c>
      <c r="F28" s="135">
        <f t="shared" si="5"/>
        <v>8000</v>
      </c>
      <c r="G28" s="135">
        <f t="shared" si="1"/>
        <v>5196.0488041488461</v>
      </c>
    </row>
    <row r="29" spans="1:7" x14ac:dyDescent="0.2">
      <c r="A29" s="132">
        <f t="shared" si="0"/>
        <v>11</v>
      </c>
      <c r="B29" s="133">
        <f t="shared" si="2"/>
        <v>5544.4867169574827</v>
      </c>
      <c r="C29" s="133">
        <f t="shared" si="3"/>
        <v>747.47136364773996</v>
      </c>
      <c r="E29" s="133">
        <f t="shared" si="4"/>
        <v>49156.536845637311</v>
      </c>
      <c r="F29" s="135">
        <f t="shared" si="5"/>
        <v>8000</v>
      </c>
      <c r="G29" s="135">
        <f t="shared" si="1"/>
        <v>4915.6536845637311</v>
      </c>
    </row>
    <row r="30" spans="1:7" x14ac:dyDescent="0.2">
      <c r="A30" s="132">
        <f t="shared" si="0"/>
        <v>12</v>
      </c>
      <c r="B30" s="133">
        <f t="shared" si="2"/>
        <v>6359.2305033335188</v>
      </c>
      <c r="C30" s="133">
        <f t="shared" si="3"/>
        <v>814.74378637603604</v>
      </c>
      <c r="E30" s="133">
        <f t="shared" si="4"/>
        <v>46072.190530201042</v>
      </c>
      <c r="F30" s="135">
        <f t="shared" si="5"/>
        <v>8000</v>
      </c>
      <c r="G30" s="135">
        <f t="shared" si="1"/>
        <v>4607.2190530201042</v>
      </c>
    </row>
    <row r="31" spans="1:7" x14ac:dyDescent="0.2">
      <c r="A31" s="132">
        <f t="shared" si="0"/>
        <v>13</v>
      </c>
      <c r="B31" s="133">
        <f t="shared" si="2"/>
        <v>7247.3012304833983</v>
      </c>
      <c r="C31" s="133">
        <f t="shared" si="3"/>
        <v>888.07072714987953</v>
      </c>
      <c r="E31" s="133">
        <f t="shared" si="4"/>
        <v>42679.409583221146</v>
      </c>
      <c r="F31" s="135">
        <f t="shared" si="5"/>
        <v>8000</v>
      </c>
      <c r="G31" s="135">
        <f t="shared" si="1"/>
        <v>4267.940958322115</v>
      </c>
    </row>
    <row r="32" spans="1:7" x14ac:dyDescent="0.2">
      <c r="A32" s="132">
        <f t="shared" si="0"/>
        <v>14</v>
      </c>
      <c r="B32" s="133">
        <f t="shared" si="2"/>
        <v>8215.2983230767677</v>
      </c>
      <c r="C32" s="133">
        <f t="shared" si="3"/>
        <v>967.99709259336942</v>
      </c>
      <c r="E32" s="133">
        <f t="shared" si="4"/>
        <v>38947.350541543259</v>
      </c>
      <c r="F32" s="135">
        <f t="shared" si="5"/>
        <v>8000</v>
      </c>
      <c r="G32" s="135">
        <f t="shared" si="1"/>
        <v>3894.735054154326</v>
      </c>
    </row>
    <row r="33" spans="1:7" x14ac:dyDescent="0.2">
      <c r="A33" s="132">
        <f t="shared" si="0"/>
        <v>15</v>
      </c>
      <c r="B33" s="133">
        <f t="shared" si="2"/>
        <v>9270.41515400354</v>
      </c>
      <c r="C33" s="133">
        <f t="shared" si="3"/>
        <v>1055.1168309267723</v>
      </c>
      <c r="E33" s="133">
        <f t="shared" si="4"/>
        <v>34842.085595697587</v>
      </c>
      <c r="F33" s="135">
        <f t="shared" si="5"/>
        <v>8000</v>
      </c>
      <c r="G33" s="135">
        <f t="shared" si="1"/>
        <v>3484.208559569759</v>
      </c>
    </row>
    <row r="34" spans="1:7" x14ac:dyDescent="0.2">
      <c r="A34" s="132">
        <f t="shared" si="0"/>
        <v>16</v>
      </c>
      <c r="B34" s="133">
        <f t="shared" si="2"/>
        <v>10420.492499713722</v>
      </c>
      <c r="C34" s="133">
        <f t="shared" si="3"/>
        <v>1150.0773457101823</v>
      </c>
      <c r="E34" s="133">
        <f t="shared" si="4"/>
        <v>30326.294155267344</v>
      </c>
      <c r="F34" s="135">
        <f t="shared" si="5"/>
        <v>8000</v>
      </c>
      <c r="G34" s="135">
        <f t="shared" si="1"/>
        <v>3032.6294155267346</v>
      </c>
    </row>
    <row r="35" spans="1:7" x14ac:dyDescent="0.2">
      <c r="A35" s="132">
        <f t="shared" si="0"/>
        <v>17</v>
      </c>
      <c r="B35" s="133">
        <f t="shared" si="2"/>
        <v>11674.076806537822</v>
      </c>
      <c r="C35" s="133">
        <f t="shared" si="3"/>
        <v>1253.5843068240993</v>
      </c>
      <c r="E35" s="133">
        <f t="shared" si="4"/>
        <v>25358.923570794079</v>
      </c>
      <c r="F35" s="135">
        <f t="shared" si="5"/>
        <v>8000</v>
      </c>
      <c r="G35" s="135">
        <f t="shared" si="1"/>
        <v>2535.8923570794082</v>
      </c>
    </row>
    <row r="36" spans="1:7" x14ac:dyDescent="0.2">
      <c r="A36" s="132">
        <f>A35+1</f>
        <v>18</v>
      </c>
      <c r="B36" s="133">
        <f t="shared" si="2"/>
        <v>13040.48370097609</v>
      </c>
      <c r="C36" s="133">
        <f t="shared" si="3"/>
        <v>1366.4068944382689</v>
      </c>
      <c r="E36" s="133">
        <f t="shared" si="4"/>
        <v>19894.815927873486</v>
      </c>
      <c r="F36" s="135">
        <f t="shared" si="5"/>
        <v>8000</v>
      </c>
      <c r="G36" s="135">
        <f t="shared" si="1"/>
        <v>1989.4815927873487</v>
      </c>
    </row>
    <row r="37" spans="1:7" x14ac:dyDescent="0.2">
      <c r="A37" s="132">
        <f t="shared" si="0"/>
        <v>19</v>
      </c>
      <c r="B37" s="133">
        <f t="shared" si="2"/>
        <v>14529.867215913802</v>
      </c>
      <c r="C37" s="133">
        <f t="shared" si="3"/>
        <v>1489.3835149377119</v>
      </c>
      <c r="E37" s="133">
        <f t="shared" si="4"/>
        <v>13884.297520660835</v>
      </c>
      <c r="F37" s="135">
        <f t="shared" si="5"/>
        <v>8000</v>
      </c>
      <c r="G37" s="135">
        <f t="shared" si="1"/>
        <v>1388.4297520660837</v>
      </c>
    </row>
    <row r="38" spans="1:7" x14ac:dyDescent="0.2">
      <c r="A38" s="132">
        <f t="shared" si="0"/>
        <v>20</v>
      </c>
      <c r="B38" s="133">
        <f t="shared" si="2"/>
        <v>16153.295247195909</v>
      </c>
      <c r="C38" s="133">
        <f t="shared" si="3"/>
        <v>1623.4280312821065</v>
      </c>
      <c r="E38" s="133">
        <f t="shared" si="4"/>
        <v>7272.7272727269192</v>
      </c>
      <c r="F38" s="137">
        <f t="shared" si="5"/>
        <v>8000</v>
      </c>
      <c r="G38" s="137">
        <f t="shared" si="1"/>
        <v>727.27272727269201</v>
      </c>
    </row>
    <row r="39" spans="1:7" x14ac:dyDescent="0.2">
      <c r="A39" s="132">
        <f t="shared" si="0"/>
        <v>21</v>
      </c>
      <c r="B39" s="133">
        <f t="shared" si="2"/>
        <v>17922.831801293407</v>
      </c>
      <c r="C39" s="133">
        <f t="shared" si="3"/>
        <v>1769.5365540974981</v>
      </c>
      <c r="E39" s="138">
        <f>E38-F38+G38</f>
        <v>-3.8880898500792682E-10</v>
      </c>
      <c r="F39" s="70"/>
      <c r="G39" s="70"/>
    </row>
    <row r="40" spans="1:7" x14ac:dyDescent="0.2">
      <c r="A40" s="132">
        <f t="shared" si="0"/>
        <v>22</v>
      </c>
      <c r="B40" s="133">
        <f t="shared" si="2"/>
        <v>19851.626645259679</v>
      </c>
      <c r="C40" s="133">
        <f t="shared" si="3"/>
        <v>1928.7948439662723</v>
      </c>
    </row>
    <row r="41" spans="1:7" x14ac:dyDescent="0.2">
      <c r="A41" s="132">
        <f t="shared" si="0"/>
        <v>23</v>
      </c>
      <c r="B41" s="133">
        <f t="shared" si="2"/>
        <v>21954.013025182914</v>
      </c>
      <c r="C41" s="133">
        <f t="shared" si="3"/>
        <v>2102.3863799232349</v>
      </c>
    </row>
    <row r="42" spans="1:7" x14ac:dyDescent="0.2">
      <c r="A42" s="132">
        <f t="shared" si="0"/>
        <v>24</v>
      </c>
      <c r="B42" s="133">
        <f t="shared" si="2"/>
        <v>24245.614179299242</v>
      </c>
      <c r="C42" s="133">
        <f t="shared" si="3"/>
        <v>2291.601154116328</v>
      </c>
    </row>
    <row r="43" spans="1:7" x14ac:dyDescent="0.2">
      <c r="A43" s="132">
        <f>A42+1</f>
        <v>25</v>
      </c>
      <c r="B43" s="133">
        <f t="shared" si="2"/>
        <v>26743.459437286037</v>
      </c>
      <c r="C43" s="133">
        <f t="shared" si="3"/>
        <v>2497.8452579867953</v>
      </c>
    </row>
    <row r="44" spans="1:7" x14ac:dyDescent="0.2">
      <c r="A44" s="132">
        <f t="shared" si="0"/>
        <v>26</v>
      </c>
      <c r="B44" s="133">
        <f t="shared" si="2"/>
        <v>29466.110768491646</v>
      </c>
      <c r="C44" s="133">
        <f t="shared" si="3"/>
        <v>2722.6513312056086</v>
      </c>
    </row>
    <row r="45" spans="1:7" x14ac:dyDescent="0.2">
      <c r="A45" s="132">
        <f t="shared" si="0"/>
        <v>27</v>
      </c>
      <c r="B45" s="133">
        <f t="shared" si="2"/>
        <v>32433.800719505762</v>
      </c>
      <c r="C45" s="133">
        <f t="shared" si="3"/>
        <v>2967.6899510141156</v>
      </c>
    </row>
    <row r="46" spans="1:7" x14ac:dyDescent="0.2">
      <c r="A46" s="132">
        <f t="shared" si="0"/>
        <v>28</v>
      </c>
      <c r="B46" s="133">
        <f t="shared" si="2"/>
        <v>35668.58276611114</v>
      </c>
      <c r="C46" s="133">
        <f t="shared" si="3"/>
        <v>3234.7820466053781</v>
      </c>
    </row>
    <row r="47" spans="1:7" x14ac:dyDescent="0.2">
      <c r="A47" s="132">
        <f t="shared" si="0"/>
        <v>29</v>
      </c>
      <c r="B47" s="133">
        <f t="shared" si="2"/>
        <v>39194.495196911004</v>
      </c>
      <c r="C47" s="133">
        <f t="shared" si="3"/>
        <v>3525.9124307998645</v>
      </c>
    </row>
    <row r="48" spans="1:7" x14ac:dyDescent="0.2">
      <c r="A48" s="132">
        <f t="shared" si="0"/>
        <v>30</v>
      </c>
      <c r="B48" s="133">
        <f t="shared" si="2"/>
        <v>43037.739746482861</v>
      </c>
      <c r="C48" s="133">
        <f t="shared" si="3"/>
        <v>3843.2445495718566</v>
      </c>
    </row>
    <row r="49" spans="1:3" x14ac:dyDescent="0.2">
      <c r="A49" s="132">
        <f t="shared" si="0"/>
        <v>31</v>
      </c>
      <c r="B49" s="133">
        <f t="shared" si="2"/>
        <v>47226.876305516183</v>
      </c>
      <c r="C49" s="133">
        <f t="shared" si="3"/>
        <v>4189.1365590333226</v>
      </c>
    </row>
    <row r="50" spans="1:3" x14ac:dyDescent="0.2">
      <c r="A50" s="132">
        <f t="shared" si="0"/>
        <v>32</v>
      </c>
      <c r="B50" s="133">
        <f t="shared" si="2"/>
        <v>51793.035154862504</v>
      </c>
      <c r="C50" s="133">
        <f t="shared" si="3"/>
        <v>4566.1588493463205</v>
      </c>
    </row>
    <row r="51" spans="1:3" x14ac:dyDescent="0.2">
      <c r="A51" s="132">
        <f>A50+1</f>
        <v>33</v>
      </c>
      <c r="B51" s="133">
        <f t="shared" si="2"/>
        <v>56770.148300649991</v>
      </c>
      <c r="C51" s="133">
        <f t="shared" si="3"/>
        <v>4977.1131457874872</v>
      </c>
    </row>
    <row r="52" spans="1:3" x14ac:dyDescent="0.2">
      <c r="A52" s="132">
        <f t="shared" si="0"/>
        <v>34</v>
      </c>
      <c r="B52" s="133">
        <f t="shared" si="2"/>
        <v>62195.201629558353</v>
      </c>
      <c r="C52" s="133">
        <f t="shared" si="3"/>
        <v>5425.0533289083614</v>
      </c>
    </row>
    <row r="53" spans="1:3" x14ac:dyDescent="0.2">
      <c r="A53" s="139">
        <f t="shared" si="0"/>
        <v>35</v>
      </c>
      <c r="B53" s="138">
        <f t="shared" si="2"/>
        <v>68108.509758068481</v>
      </c>
      <c r="C53" s="138">
        <f>B53-B52</f>
        <v>5913.3081285101289</v>
      </c>
    </row>
  </sheetData>
  <sheetProtection password="BBA6" sheet="1" objects="1" scenarios="1"/>
  <mergeCells count="2">
    <mergeCell ref="A17:C17"/>
    <mergeCell ref="E17:G17"/>
  </mergeCells>
  <phoneticPr fontId="0" type="noConversion"/>
  <pageMargins left="0.49" right="0.51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Button 2">
              <controlPr defaultSize="0" print="0" autoFill="0" autoPict="0">
                <anchor moveWithCells="1" sizeWithCells="1">
                  <from>
                    <xdr:col>0</xdr:col>
                    <xdr:colOff>47625</xdr:colOff>
                    <xdr:row>0</xdr:row>
                    <xdr:rowOff>123825</xdr:rowOff>
                  </from>
                  <to>
                    <xdr:col>1</xdr:col>
                    <xdr:colOff>590550</xdr:colOff>
                    <xdr:row>0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0"/>
  <sheetViews>
    <sheetView showGridLines="0" workbookViewId="0">
      <selection activeCell="B5" sqref="B5"/>
    </sheetView>
  </sheetViews>
  <sheetFormatPr baseColWidth="10" defaultColWidth="11.5703125" defaultRowHeight="12" x14ac:dyDescent="0.2"/>
  <cols>
    <col min="1" max="1" width="30.7109375" style="63" customWidth="1"/>
    <col min="2" max="2" width="17.140625" style="62" customWidth="1"/>
    <col min="3" max="3" width="5.85546875" style="63" customWidth="1"/>
    <col min="4" max="4" width="3.42578125" style="63" customWidth="1"/>
    <col min="5" max="5" width="17.140625" style="63" customWidth="1"/>
    <col min="6" max="6" width="4.28515625" style="63" customWidth="1"/>
    <col min="7" max="16384" width="11.5703125" style="63"/>
  </cols>
  <sheetData>
    <row r="1" spans="1:6" ht="52.15" customHeight="1" x14ac:dyDescent="0.2">
      <c r="A1" s="61"/>
    </row>
    <row r="2" spans="1:6" s="57" customFormat="1" ht="25.15" customHeight="1" x14ac:dyDescent="0.2">
      <c r="A2" s="232" t="s">
        <v>84</v>
      </c>
      <c r="B2" s="232"/>
      <c r="C2" s="232"/>
      <c r="D2" s="232"/>
      <c r="E2" s="232"/>
      <c r="F2" s="232"/>
    </row>
    <row r="3" spans="1:6" ht="12.75" thickBot="1" x14ac:dyDescent="0.25">
      <c r="A3" s="61"/>
    </row>
    <row r="4" spans="1:6" x14ac:dyDescent="0.2">
      <c r="A4" s="64" t="s">
        <v>0</v>
      </c>
      <c r="B4" s="65">
        <v>1250000</v>
      </c>
      <c r="C4" s="66" t="s">
        <v>7</v>
      </c>
      <c r="E4" s="63" t="s">
        <v>133</v>
      </c>
    </row>
    <row r="5" spans="1:6" x14ac:dyDescent="0.2">
      <c r="A5" s="67" t="s">
        <v>1</v>
      </c>
      <c r="B5" s="68">
        <v>750000</v>
      </c>
      <c r="C5" s="69" t="s">
        <v>7</v>
      </c>
    </row>
    <row r="6" spans="1:6" x14ac:dyDescent="0.2">
      <c r="A6" s="67"/>
      <c r="B6" s="70"/>
      <c r="C6" s="69"/>
    </row>
    <row r="7" spans="1:6" x14ac:dyDescent="0.2">
      <c r="A7" s="67" t="s">
        <v>2</v>
      </c>
      <c r="B7" s="68">
        <v>23.6</v>
      </c>
      <c r="C7" s="69" t="s">
        <v>7</v>
      </c>
    </row>
    <row r="8" spans="1:6" x14ac:dyDescent="0.2">
      <c r="A8" s="67" t="s">
        <v>4</v>
      </c>
      <c r="B8" s="70">
        <v>5</v>
      </c>
      <c r="C8" s="69" t="s">
        <v>7</v>
      </c>
    </row>
    <row r="9" spans="1:6" x14ac:dyDescent="0.2">
      <c r="A9" s="67" t="s">
        <v>3</v>
      </c>
      <c r="B9" s="68">
        <v>19</v>
      </c>
      <c r="C9" s="69" t="s">
        <v>7</v>
      </c>
    </row>
    <row r="10" spans="1:6" ht="12.75" thickBot="1" x14ac:dyDescent="0.25">
      <c r="A10" s="71" t="s">
        <v>5</v>
      </c>
      <c r="B10" s="72">
        <v>5</v>
      </c>
      <c r="C10" s="73" t="s">
        <v>7</v>
      </c>
    </row>
    <row r="12" spans="1:6" ht="12.75" thickBot="1" x14ac:dyDescent="0.25"/>
    <row r="13" spans="1:6" x14ac:dyDescent="0.2">
      <c r="A13" s="64" t="s">
        <v>10</v>
      </c>
      <c r="B13" s="74">
        <f>($B$5/$B$10)*$B$10</f>
        <v>750000</v>
      </c>
      <c r="C13" s="66" t="s">
        <v>7</v>
      </c>
    </row>
    <row r="14" spans="1:6" x14ac:dyDescent="0.2">
      <c r="A14" s="67" t="s">
        <v>8</v>
      </c>
      <c r="B14" s="70">
        <f>($B$5/$B$10)*($B$9-$B$10)</f>
        <v>2100000</v>
      </c>
      <c r="C14" s="69" t="s">
        <v>7</v>
      </c>
    </row>
    <row r="15" spans="1:6" ht="12.75" thickBot="1" x14ac:dyDescent="0.25">
      <c r="A15" s="71" t="s">
        <v>9</v>
      </c>
      <c r="B15" s="72">
        <f>(B$5/B$10)*B$9</f>
        <v>2850000</v>
      </c>
      <c r="C15" s="73" t="s">
        <v>7</v>
      </c>
    </row>
    <row r="16" spans="1:6" x14ac:dyDescent="0.2">
      <c r="B16" s="75"/>
    </row>
    <row r="17" spans="1:3" x14ac:dyDescent="0.2">
      <c r="A17" s="63" t="s">
        <v>6</v>
      </c>
      <c r="B17" s="76">
        <v>0</v>
      </c>
      <c r="C17" s="63" t="s">
        <v>7</v>
      </c>
    </row>
    <row r="18" spans="1:3" x14ac:dyDescent="0.2">
      <c r="A18" s="77" t="s">
        <v>134</v>
      </c>
      <c r="B18" s="76">
        <v>1.5</v>
      </c>
      <c r="C18" s="63" t="s">
        <v>7</v>
      </c>
    </row>
    <row r="19" spans="1:3" ht="12.75" thickBot="1" x14ac:dyDescent="0.25"/>
    <row r="20" spans="1:3" ht="24.75" thickBot="1" x14ac:dyDescent="0.25">
      <c r="A20" s="78" t="s">
        <v>11</v>
      </c>
      <c r="B20" s="79">
        <f>($B$7-($B$9-$B$17+$B$18))/($B$4/$B$5+1)</f>
        <v>1.1625000000000003</v>
      </c>
      <c r="C20" s="80" t="s">
        <v>7</v>
      </c>
    </row>
  </sheetData>
  <sheetProtection password="BBA6" sheet="1" objects="1" scenarios="1"/>
  <mergeCells count="1">
    <mergeCell ref="A2:F2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0" r:id="rId3" name="Button 1026">
              <controlPr defaultSize="0" print="0" autoFill="0" autoPict="0">
                <anchor moveWithCells="1" sizeWithCells="1">
                  <from>
                    <xdr:col>0</xdr:col>
                    <xdr:colOff>47625</xdr:colOff>
                    <xdr:row>0</xdr:row>
                    <xdr:rowOff>57150</xdr:rowOff>
                  </from>
                  <to>
                    <xdr:col>0</xdr:col>
                    <xdr:colOff>1504950</xdr:colOff>
                    <xdr:row>0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2"/>
  <dimension ref="A1:D38"/>
  <sheetViews>
    <sheetView showGridLines="0" showRowColHeaders="0" workbookViewId="0"/>
  </sheetViews>
  <sheetFormatPr baseColWidth="10" defaultColWidth="11.5703125" defaultRowHeight="12" x14ac:dyDescent="0.2"/>
  <cols>
    <col min="1" max="1" width="28.140625" style="63" customWidth="1"/>
    <col min="2" max="2" width="30.7109375" style="62" customWidth="1"/>
    <col min="3" max="3" width="11.5703125" style="63" customWidth="1"/>
    <col min="4" max="4" width="18" style="63" customWidth="1"/>
    <col min="5" max="16384" width="11.5703125" style="63"/>
  </cols>
  <sheetData>
    <row r="1" spans="1:4" ht="52.15" customHeight="1" x14ac:dyDescent="0.2">
      <c r="A1" s="61"/>
    </row>
    <row r="2" spans="1:4" s="45" customFormat="1" ht="18.600000000000001" customHeight="1" x14ac:dyDescent="0.25">
      <c r="A2" s="233" t="s">
        <v>57</v>
      </c>
      <c r="B2" s="234"/>
      <c r="C2" s="234"/>
    </row>
    <row r="3" spans="1:4" x14ac:dyDescent="0.2">
      <c r="A3" s="61"/>
    </row>
    <row r="4" spans="1:4" ht="12.75" thickBot="1" x14ac:dyDescent="0.25">
      <c r="A4" s="141" t="s">
        <v>54</v>
      </c>
    </row>
    <row r="5" spans="1:4" x14ac:dyDescent="0.2">
      <c r="A5" s="64" t="s">
        <v>14</v>
      </c>
      <c r="B5" s="65">
        <v>165320</v>
      </c>
      <c r="C5" s="66" t="s">
        <v>7</v>
      </c>
      <c r="D5" s="63" t="s">
        <v>133</v>
      </c>
    </row>
    <row r="6" spans="1:4" x14ac:dyDescent="0.2">
      <c r="A6" s="67" t="s">
        <v>15</v>
      </c>
      <c r="B6" s="68">
        <v>2</v>
      </c>
      <c r="C6" s="69" t="s">
        <v>16</v>
      </c>
    </row>
    <row r="7" spans="1:4" x14ac:dyDescent="0.2">
      <c r="A7" s="67" t="s">
        <v>12</v>
      </c>
      <c r="B7" s="142">
        <v>10</v>
      </c>
      <c r="C7" s="69" t="s">
        <v>17</v>
      </c>
    </row>
    <row r="8" spans="1:4" x14ac:dyDescent="0.2">
      <c r="A8" s="67" t="s">
        <v>13</v>
      </c>
      <c r="B8" s="142">
        <v>40</v>
      </c>
      <c r="C8" s="69" t="s">
        <v>17</v>
      </c>
    </row>
    <row r="9" spans="1:4" x14ac:dyDescent="0.2">
      <c r="A9" s="67"/>
      <c r="B9" s="70"/>
      <c r="C9" s="69"/>
    </row>
    <row r="10" spans="1:4" x14ac:dyDescent="0.2">
      <c r="A10" s="67"/>
      <c r="B10" s="70"/>
      <c r="C10" s="69"/>
    </row>
    <row r="11" spans="1:4" x14ac:dyDescent="0.2">
      <c r="A11" s="67" t="s">
        <v>18</v>
      </c>
      <c r="B11" s="70">
        <f>B5*(B6/100)</f>
        <v>3306.4</v>
      </c>
      <c r="C11" s="69" t="s">
        <v>7</v>
      </c>
    </row>
    <row r="12" spans="1:4" x14ac:dyDescent="0.2">
      <c r="A12" s="67" t="s">
        <v>19</v>
      </c>
      <c r="B12" s="70">
        <f>($B$6*360)/($B$8-$B$7)</f>
        <v>24</v>
      </c>
      <c r="C12" s="69" t="s">
        <v>16</v>
      </c>
    </row>
    <row r="13" spans="1:4" x14ac:dyDescent="0.2">
      <c r="A13" s="67" t="s">
        <v>20</v>
      </c>
      <c r="B13" s="70">
        <f>(((1+(($B$12/100)/(360/($B$8-$B$7))))^(360/($B$8-$B$7)))-1)*100</f>
        <v>26.824179456254527</v>
      </c>
      <c r="C13" s="69" t="s">
        <v>16</v>
      </c>
    </row>
    <row r="14" spans="1:4" ht="12.75" thickBot="1" x14ac:dyDescent="0.25">
      <c r="A14" s="71"/>
      <c r="B14" s="72"/>
      <c r="C14" s="73"/>
    </row>
    <row r="17" spans="1:4" ht="12.75" thickBot="1" x14ac:dyDescent="0.25">
      <c r="A17" s="141" t="s">
        <v>55</v>
      </c>
    </row>
    <row r="18" spans="1:4" x14ac:dyDescent="0.2">
      <c r="A18" s="64" t="s">
        <v>21</v>
      </c>
      <c r="B18" s="65">
        <v>55000</v>
      </c>
      <c r="C18" s="66" t="s">
        <v>7</v>
      </c>
      <c r="D18" s="63" t="s">
        <v>133</v>
      </c>
    </row>
    <row r="19" spans="1:4" x14ac:dyDescent="0.2">
      <c r="A19" s="67" t="s">
        <v>22</v>
      </c>
      <c r="B19" s="68">
        <v>10.25</v>
      </c>
      <c r="C19" s="69" t="s">
        <v>16</v>
      </c>
    </row>
    <row r="20" spans="1:4" x14ac:dyDescent="0.2">
      <c r="A20" s="67" t="s">
        <v>23</v>
      </c>
      <c r="B20" s="142">
        <v>25</v>
      </c>
      <c r="C20" s="69" t="s">
        <v>17</v>
      </c>
    </row>
    <row r="21" spans="1:4" x14ac:dyDescent="0.2">
      <c r="A21" s="67"/>
      <c r="B21" s="70"/>
      <c r="C21" s="69"/>
    </row>
    <row r="22" spans="1:4" x14ac:dyDescent="0.2">
      <c r="A22" s="67"/>
      <c r="B22" s="70"/>
      <c r="C22" s="69"/>
    </row>
    <row r="23" spans="1:4" x14ac:dyDescent="0.2">
      <c r="A23" s="67" t="s">
        <v>18</v>
      </c>
      <c r="B23" s="70">
        <f>(B18*B19*B20)/36000</f>
        <v>391.49305555555554</v>
      </c>
      <c r="C23" s="69" t="s">
        <v>7</v>
      </c>
    </row>
    <row r="24" spans="1:4" x14ac:dyDescent="0.2">
      <c r="A24" s="67" t="s">
        <v>19</v>
      </c>
      <c r="B24" s="70">
        <f>(B19*100)/(100-((B19*B20)/360))</f>
        <v>10.323483126420703</v>
      </c>
      <c r="C24" s="69" t="s">
        <v>16</v>
      </c>
    </row>
    <row r="25" spans="1:4" x14ac:dyDescent="0.2">
      <c r="A25" s="67" t="s">
        <v>20</v>
      </c>
      <c r="B25" s="70">
        <f>(((1+((B24/100)/(360/B20)))^(360/B20))-1)*100</f>
        <v>10.834348052038777</v>
      </c>
      <c r="C25" s="69" t="s">
        <v>16</v>
      </c>
    </row>
    <row r="26" spans="1:4" ht="12.75" thickBot="1" x14ac:dyDescent="0.25">
      <c r="A26" s="71"/>
      <c r="B26" s="72"/>
      <c r="C26" s="73"/>
    </row>
    <row r="29" spans="1:4" ht="12.75" thickBot="1" x14ac:dyDescent="0.25">
      <c r="A29" s="141" t="s">
        <v>56</v>
      </c>
    </row>
    <row r="30" spans="1:4" x14ac:dyDescent="0.2">
      <c r="A30" s="64" t="s">
        <v>14</v>
      </c>
      <c r="B30" s="65">
        <v>162013.6</v>
      </c>
      <c r="C30" s="66" t="s">
        <v>7</v>
      </c>
      <c r="D30" s="63" t="s">
        <v>133</v>
      </c>
    </row>
    <row r="31" spans="1:4" x14ac:dyDescent="0.2">
      <c r="A31" s="67" t="s">
        <v>24</v>
      </c>
      <c r="B31" s="68">
        <v>13.25</v>
      </c>
      <c r="C31" s="69" t="s">
        <v>16</v>
      </c>
    </row>
    <row r="32" spans="1:4" x14ac:dyDescent="0.2">
      <c r="A32" s="67" t="s">
        <v>64</v>
      </c>
      <c r="B32" s="142">
        <v>120</v>
      </c>
      <c r="C32" s="69" t="s">
        <v>17</v>
      </c>
    </row>
    <row r="33" spans="1:3" x14ac:dyDescent="0.2">
      <c r="A33" s="67"/>
      <c r="B33" s="70"/>
      <c r="C33" s="69"/>
    </row>
    <row r="34" spans="1:3" x14ac:dyDescent="0.2">
      <c r="A34" s="67"/>
      <c r="B34" s="70"/>
      <c r="C34" s="69"/>
    </row>
    <row r="35" spans="1:3" x14ac:dyDescent="0.2">
      <c r="A35" s="67" t="s">
        <v>18</v>
      </c>
      <c r="B35" s="70">
        <f>(B30*B31*B32)/36000</f>
        <v>7155.6006666666672</v>
      </c>
      <c r="C35" s="69" t="s">
        <v>7</v>
      </c>
    </row>
    <row r="36" spans="1:3" x14ac:dyDescent="0.2">
      <c r="A36" s="67"/>
      <c r="B36" s="70"/>
      <c r="C36" s="69"/>
    </row>
    <row r="37" spans="1:3" x14ac:dyDescent="0.2">
      <c r="A37" s="67" t="s">
        <v>65</v>
      </c>
      <c r="B37" s="70">
        <f>(((1+((B31/100)/(360/90)))^(360/90))-1)*100</f>
        <v>13.923018543716449</v>
      </c>
      <c r="C37" s="69" t="s">
        <v>16</v>
      </c>
    </row>
    <row r="38" spans="1:3" ht="12.75" thickBot="1" x14ac:dyDescent="0.25">
      <c r="A38" s="71" t="s">
        <v>66</v>
      </c>
      <c r="B38" s="72"/>
      <c r="C38" s="73"/>
    </row>
  </sheetData>
  <sheetProtection password="BBA6" sheet="1" objects="1" scenarios="1"/>
  <mergeCells count="1">
    <mergeCell ref="A2:C2"/>
  </mergeCells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4" r:id="rId4" name="Button 2">
              <controlPr defaultSize="0" print="0" autoFill="0" autoPict="0">
                <anchor moveWithCells="1" sizeWithCells="1">
                  <from>
                    <xdr:col>0</xdr:col>
                    <xdr:colOff>123825</xdr:colOff>
                    <xdr:row>0</xdr:row>
                    <xdr:rowOff>200025</xdr:rowOff>
                  </from>
                  <to>
                    <xdr:col>0</xdr:col>
                    <xdr:colOff>1581150</xdr:colOff>
                    <xdr:row>0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3"/>
  <dimension ref="A1:E18"/>
  <sheetViews>
    <sheetView showGridLines="0" showRowColHeaders="0" workbookViewId="0"/>
  </sheetViews>
  <sheetFormatPr baseColWidth="10" defaultColWidth="11.5703125" defaultRowHeight="12" x14ac:dyDescent="0.2"/>
  <cols>
    <col min="1" max="1" width="23.28515625" style="63" customWidth="1"/>
    <col min="2" max="2" width="19.140625" style="62" customWidth="1"/>
    <col min="3" max="3" width="15" style="63" customWidth="1"/>
    <col min="4" max="4" width="4.28515625" style="63" customWidth="1"/>
    <col min="5" max="16384" width="11.5703125" style="63"/>
  </cols>
  <sheetData>
    <row r="1" spans="1:5" ht="52.15" customHeight="1" x14ac:dyDescent="0.2">
      <c r="A1" s="61"/>
    </row>
    <row r="2" spans="1:5" s="57" customFormat="1" ht="20.65" customHeight="1" x14ac:dyDescent="0.2">
      <c r="A2" s="55" t="s">
        <v>51</v>
      </c>
      <c r="B2" s="151"/>
      <c r="C2" s="56"/>
      <c r="D2" s="56"/>
      <c r="E2" s="56"/>
    </row>
    <row r="3" spans="1:5" ht="12.75" thickBot="1" x14ac:dyDescent="0.25"/>
    <row r="4" spans="1:5" x14ac:dyDescent="0.2">
      <c r="A4" s="143" t="s">
        <v>43</v>
      </c>
      <c r="B4" s="65">
        <v>1365420</v>
      </c>
      <c r="C4" s="66" t="s">
        <v>7</v>
      </c>
      <c r="E4" s="63" t="s">
        <v>133</v>
      </c>
    </row>
    <row r="5" spans="1:5" x14ac:dyDescent="0.2">
      <c r="A5" s="144" t="s">
        <v>24</v>
      </c>
      <c r="B5" s="68">
        <v>7.75</v>
      </c>
      <c r="C5" s="69" t="s">
        <v>16</v>
      </c>
    </row>
    <row r="6" spans="1:5" x14ac:dyDescent="0.2">
      <c r="A6" s="144" t="s">
        <v>44</v>
      </c>
      <c r="B6" s="142">
        <v>14</v>
      </c>
      <c r="C6" s="69" t="s">
        <v>27</v>
      </c>
    </row>
    <row r="7" spans="1:5" x14ac:dyDescent="0.2">
      <c r="A7" s="144" t="s">
        <v>45</v>
      </c>
      <c r="B7" s="142">
        <v>3</v>
      </c>
      <c r="C7" s="69" t="s">
        <v>27</v>
      </c>
    </row>
    <row r="8" spans="1:5" x14ac:dyDescent="0.2">
      <c r="A8" s="144" t="s">
        <v>46</v>
      </c>
      <c r="B8" s="68">
        <v>98</v>
      </c>
      <c r="C8" s="69" t="s">
        <v>16</v>
      </c>
    </row>
    <row r="9" spans="1:5" ht="24.75" thickBot="1" x14ac:dyDescent="0.25">
      <c r="A9" s="145" t="s">
        <v>53</v>
      </c>
      <c r="B9" s="146">
        <v>4</v>
      </c>
      <c r="C9" s="73" t="s">
        <v>50</v>
      </c>
    </row>
    <row r="10" spans="1:5" ht="12.75" thickBot="1" x14ac:dyDescent="0.25"/>
    <row r="11" spans="1:5" ht="24" x14ac:dyDescent="0.2">
      <c r="A11" s="147" t="s">
        <v>49</v>
      </c>
      <c r="B11" s="74">
        <f>B4*(B5/100)</f>
        <v>105820.05</v>
      </c>
      <c r="C11" s="66" t="s">
        <v>7</v>
      </c>
    </row>
    <row r="12" spans="1:5" ht="24" x14ac:dyDescent="0.2">
      <c r="A12" s="148" t="s">
        <v>47</v>
      </c>
      <c r="B12" s="70">
        <f>$B$4*(1+$B$5/100)^($B$6-$B$7)*(((1+$B$5/100)-1)/((1+$B$5/100)^($B$6-$B$7)-1))</f>
        <v>188949.76410258358</v>
      </c>
      <c r="C12" s="69" t="s">
        <v>7</v>
      </c>
    </row>
    <row r="13" spans="1:5" x14ac:dyDescent="0.2">
      <c r="A13" s="144" t="s">
        <v>48</v>
      </c>
      <c r="B13" s="70">
        <f>$B$7+((($B$6-$B$7)+1)/2)</f>
        <v>9</v>
      </c>
      <c r="C13" s="69" t="s">
        <v>27</v>
      </c>
      <c r="D13" s="149"/>
      <c r="E13" s="149"/>
    </row>
    <row r="14" spans="1:5" x14ac:dyDescent="0.2">
      <c r="A14" s="144" t="s">
        <v>19</v>
      </c>
      <c r="B14" s="70">
        <f>((($B$5/100)/(((1+($B$5/100))^$B$13)-1)*(100-$B$8)+$B$5)/$B$8)*100</f>
        <v>8.0733050539586237</v>
      </c>
      <c r="C14" s="69" t="s">
        <v>16</v>
      </c>
      <c r="D14" s="149"/>
      <c r="E14" s="149"/>
    </row>
    <row r="15" spans="1:5" ht="12.75" thickBot="1" x14ac:dyDescent="0.25">
      <c r="A15" s="150" t="s">
        <v>20</v>
      </c>
      <c r="B15" s="72">
        <f>(((1+($B$14/100)/$B$9)^$B$9)-1)*100</f>
        <v>8.321028877433756</v>
      </c>
      <c r="C15" s="73" t="s">
        <v>16</v>
      </c>
    </row>
    <row r="16" spans="1:5" x14ac:dyDescent="0.2">
      <c r="A16" s="149"/>
      <c r="B16" s="149"/>
    </row>
    <row r="17" spans="4:5" x14ac:dyDescent="0.2">
      <c r="D17" s="149"/>
      <c r="E17" s="149"/>
    </row>
    <row r="18" spans="4:5" x14ac:dyDescent="0.2">
      <c r="D18" s="149"/>
    </row>
  </sheetData>
  <sheetProtection password="BBA6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8" r:id="rId4" name="Button 2">
              <controlPr defaultSize="0" print="0" autoFill="0" autoPict="0">
                <anchor moveWithCells="1" sizeWithCells="1">
                  <from>
                    <xdr:col>0</xdr:col>
                    <xdr:colOff>47625</xdr:colOff>
                    <xdr:row>0</xdr:row>
                    <xdr:rowOff>123825</xdr:rowOff>
                  </from>
                  <to>
                    <xdr:col>0</xdr:col>
                    <xdr:colOff>1504950</xdr:colOff>
                    <xdr:row>0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4"/>
  <dimension ref="A2:M118"/>
  <sheetViews>
    <sheetView showGridLines="0" showRowColHeaders="0" workbookViewId="0">
      <selection activeCell="K36" sqref="K36"/>
    </sheetView>
  </sheetViews>
  <sheetFormatPr baseColWidth="10" defaultRowHeight="12.75" x14ac:dyDescent="0.2"/>
  <cols>
    <col min="1" max="1" width="5.85546875" style="202" customWidth="1"/>
    <col min="2" max="5" width="18.7109375" style="202" customWidth="1"/>
    <col min="6" max="6" width="2.5703125" style="202" customWidth="1"/>
    <col min="7" max="7" width="7" style="203" customWidth="1"/>
    <col min="8" max="11" width="18.7109375" style="202" customWidth="1"/>
    <col min="12" max="16384" width="11.42578125" style="202"/>
  </cols>
  <sheetData>
    <row r="2" spans="1:13" x14ac:dyDescent="0.2">
      <c r="A2" s="204"/>
    </row>
    <row r="3" spans="1:13" x14ac:dyDescent="0.2">
      <c r="B3" s="204"/>
    </row>
    <row r="4" spans="1:13" x14ac:dyDescent="0.2">
      <c r="A4" s="202" t="s">
        <v>63</v>
      </c>
      <c r="C4" s="207">
        <v>120000</v>
      </c>
      <c r="D4" s="202" t="s">
        <v>7</v>
      </c>
    </row>
    <row r="5" spans="1:13" x14ac:dyDescent="0.2">
      <c r="A5" s="202" t="s">
        <v>41</v>
      </c>
      <c r="C5" s="207">
        <v>6</v>
      </c>
      <c r="D5" s="202" t="s">
        <v>16</v>
      </c>
    </row>
    <row r="6" spans="1:13" x14ac:dyDescent="0.2">
      <c r="A6" s="202" t="s">
        <v>149</v>
      </c>
      <c r="C6" s="207">
        <v>10</v>
      </c>
      <c r="D6" s="202" t="s">
        <v>27</v>
      </c>
    </row>
    <row r="7" spans="1:13" x14ac:dyDescent="0.2">
      <c r="A7" s="202" t="s">
        <v>45</v>
      </c>
      <c r="C7" s="207">
        <v>2</v>
      </c>
      <c r="D7" s="202" t="s">
        <v>27</v>
      </c>
    </row>
    <row r="8" spans="1:13" x14ac:dyDescent="0.2">
      <c r="A8" s="205" t="s">
        <v>29</v>
      </c>
      <c r="B8" s="205"/>
      <c r="C8" s="206">
        <f>1+(C5/100)</f>
        <v>1.06</v>
      </c>
    </row>
    <row r="9" spans="1:13" x14ac:dyDescent="0.2">
      <c r="A9" s="202" t="s">
        <v>155</v>
      </c>
      <c r="C9" s="216">
        <f>$C$4*($C$8^($C$6-$C$7))*(($C$8-1)/(($C$8^($C$6-$C$7))-1))</f>
        <v>19324.313117775495</v>
      </c>
      <c r="D9" s="202" t="s">
        <v>7</v>
      </c>
    </row>
    <row r="10" spans="1:13" x14ac:dyDescent="0.2">
      <c r="A10" s="202" t="s">
        <v>150</v>
      </c>
      <c r="C10" s="216">
        <f>ROUNDUP(C9,-2)</f>
        <v>19400</v>
      </c>
      <c r="D10" s="202" t="s">
        <v>7</v>
      </c>
    </row>
    <row r="12" spans="1:13" x14ac:dyDescent="0.2">
      <c r="A12" s="208" t="s">
        <v>61</v>
      </c>
      <c r="B12" s="209"/>
      <c r="C12" s="209"/>
      <c r="D12" s="209"/>
      <c r="E12" s="209"/>
      <c r="F12" s="209"/>
      <c r="G12" s="210"/>
      <c r="H12" s="209"/>
      <c r="I12" s="209"/>
      <c r="J12" s="209"/>
      <c r="K12" s="209"/>
      <c r="L12" s="209"/>
      <c r="M12" s="209"/>
    </row>
    <row r="13" spans="1:13" x14ac:dyDescent="0.2">
      <c r="A13" s="211" t="s">
        <v>37</v>
      </c>
      <c r="B13" s="212" t="s">
        <v>58</v>
      </c>
      <c r="C13" s="211" t="s">
        <v>41</v>
      </c>
      <c r="D13" s="212" t="s">
        <v>59</v>
      </c>
      <c r="E13" s="211" t="s">
        <v>31</v>
      </c>
      <c r="F13" s="209"/>
      <c r="G13" s="210"/>
      <c r="H13" s="235" t="s">
        <v>151</v>
      </c>
      <c r="I13" s="235"/>
      <c r="J13" s="235"/>
      <c r="K13" s="235"/>
      <c r="L13" s="209"/>
      <c r="M13" s="209"/>
    </row>
    <row r="14" spans="1:13" x14ac:dyDescent="0.2">
      <c r="A14" s="213">
        <v>0</v>
      </c>
      <c r="B14" s="214">
        <f>C4</f>
        <v>120000</v>
      </c>
      <c r="C14" s="214"/>
      <c r="D14" s="214"/>
      <c r="E14" s="214"/>
      <c r="F14" s="209"/>
      <c r="G14" s="211" t="s">
        <v>37</v>
      </c>
      <c r="H14" s="211" t="s">
        <v>58</v>
      </c>
      <c r="I14" s="211" t="s">
        <v>41</v>
      </c>
      <c r="J14" s="212" t="s">
        <v>59</v>
      </c>
      <c r="K14" s="211" t="s">
        <v>31</v>
      </c>
      <c r="L14" s="209"/>
      <c r="M14" s="209"/>
    </row>
    <row r="15" spans="1:13" x14ac:dyDescent="0.2">
      <c r="A15" s="213">
        <v>1</v>
      </c>
      <c r="B15" s="214">
        <f>B14-D15</f>
        <v>120000</v>
      </c>
      <c r="C15" s="214">
        <f>IF(A15&lt;=$C$6, (B14*$C$5/100), 0)</f>
        <v>7200</v>
      </c>
      <c r="D15" s="214">
        <f t="shared" ref="D15:D34" si="0">IF(A15&lt;=$C$7, 0, IF(A15&lt;=$C$6, ($C$4/($C$6-$C$7)), 0))</f>
        <v>0</v>
      </c>
      <c r="E15" s="214">
        <f>IF(A15&lt;=$C$6, (C15+D15), 0)</f>
        <v>7200</v>
      </c>
      <c r="F15" s="209"/>
      <c r="G15" s="213">
        <f>A15</f>
        <v>1</v>
      </c>
      <c r="H15" s="215">
        <f>B15</f>
        <v>120000</v>
      </c>
      <c r="I15" s="215">
        <f>C15</f>
        <v>7200</v>
      </c>
      <c r="J15" s="215">
        <f>D15</f>
        <v>0</v>
      </c>
      <c r="K15" s="215">
        <f>E15</f>
        <v>7200</v>
      </c>
      <c r="L15" s="209"/>
      <c r="M15" s="209"/>
    </row>
    <row r="16" spans="1:13" x14ac:dyDescent="0.2">
      <c r="A16" s="213">
        <v>2</v>
      </c>
      <c r="B16" s="214">
        <f>B15-D16</f>
        <v>120000</v>
      </c>
      <c r="C16" s="214">
        <f t="shared" ref="C16:C34" si="1">IF(A16&lt;=$C$6, (B15*$C$5/100), 0)</f>
        <v>7200</v>
      </c>
      <c r="D16" s="214">
        <f t="shared" si="0"/>
        <v>0</v>
      </c>
      <c r="E16" s="214">
        <f t="shared" ref="E16:E34" si="2">IF(A16&lt;=$C$6, (C16+D16), 0)</f>
        <v>7200</v>
      </c>
      <c r="F16" s="209"/>
      <c r="G16" s="213">
        <f t="shared" ref="G16:G34" si="3">A16</f>
        <v>2</v>
      </c>
      <c r="H16" s="215">
        <f t="shared" ref="H16:H34" si="4">B16</f>
        <v>120000</v>
      </c>
      <c r="I16" s="215">
        <f t="shared" ref="I16:I34" si="5">C16+I15</f>
        <v>14400</v>
      </c>
      <c r="J16" s="215">
        <f t="shared" ref="J16:J34" si="6">D16+J15</f>
        <v>0</v>
      </c>
      <c r="K16" s="215">
        <f t="shared" ref="K16:K34" si="7">E16+K15</f>
        <v>14400</v>
      </c>
      <c r="L16" s="209"/>
      <c r="M16" s="209"/>
    </row>
    <row r="17" spans="1:13" x14ac:dyDescent="0.2">
      <c r="A17" s="213">
        <v>3</v>
      </c>
      <c r="B17" s="214">
        <f>B16-D17</f>
        <v>105000</v>
      </c>
      <c r="C17" s="214">
        <f t="shared" si="1"/>
        <v>7200</v>
      </c>
      <c r="D17" s="214">
        <f>IF(A17&lt;=$C$7, 0, IF(A17&lt;=$C$6, ($C$4/($C$6-$C$7)), 0))</f>
        <v>15000</v>
      </c>
      <c r="E17" s="214">
        <f t="shared" si="2"/>
        <v>22200</v>
      </c>
      <c r="F17" s="209"/>
      <c r="G17" s="213">
        <f t="shared" si="3"/>
        <v>3</v>
      </c>
      <c r="H17" s="215">
        <f t="shared" si="4"/>
        <v>105000</v>
      </c>
      <c r="I17" s="215">
        <f t="shared" si="5"/>
        <v>21600</v>
      </c>
      <c r="J17" s="215">
        <f t="shared" si="6"/>
        <v>15000</v>
      </c>
      <c r="K17" s="215">
        <f t="shared" si="7"/>
        <v>36600</v>
      </c>
      <c r="L17" s="209"/>
      <c r="M17" s="209"/>
    </row>
    <row r="18" spans="1:13" x14ac:dyDescent="0.2">
      <c r="A18" s="213">
        <v>4</v>
      </c>
      <c r="B18" s="214">
        <f>B17-D18</f>
        <v>90000</v>
      </c>
      <c r="C18" s="214">
        <f t="shared" si="1"/>
        <v>6300</v>
      </c>
      <c r="D18" s="214">
        <f t="shared" si="0"/>
        <v>15000</v>
      </c>
      <c r="E18" s="214">
        <f t="shared" si="2"/>
        <v>21300</v>
      </c>
      <c r="F18" s="209"/>
      <c r="G18" s="213">
        <f t="shared" si="3"/>
        <v>4</v>
      </c>
      <c r="H18" s="215">
        <f t="shared" si="4"/>
        <v>90000</v>
      </c>
      <c r="I18" s="215">
        <f t="shared" si="5"/>
        <v>27900</v>
      </c>
      <c r="J18" s="215">
        <f t="shared" si="6"/>
        <v>30000</v>
      </c>
      <c r="K18" s="215">
        <f t="shared" si="7"/>
        <v>57900</v>
      </c>
      <c r="L18" s="209"/>
      <c r="M18" s="209"/>
    </row>
    <row r="19" spans="1:13" x14ac:dyDescent="0.2">
      <c r="A19" s="213">
        <v>5</v>
      </c>
      <c r="B19" s="214">
        <f>B18-D19</f>
        <v>75000</v>
      </c>
      <c r="C19" s="214">
        <f t="shared" si="1"/>
        <v>5400</v>
      </c>
      <c r="D19" s="214">
        <f t="shared" si="0"/>
        <v>15000</v>
      </c>
      <c r="E19" s="214">
        <f t="shared" si="2"/>
        <v>20400</v>
      </c>
      <c r="F19" s="209"/>
      <c r="G19" s="213">
        <f t="shared" si="3"/>
        <v>5</v>
      </c>
      <c r="H19" s="215">
        <f t="shared" si="4"/>
        <v>75000</v>
      </c>
      <c r="I19" s="215">
        <f t="shared" si="5"/>
        <v>33300</v>
      </c>
      <c r="J19" s="215">
        <f t="shared" si="6"/>
        <v>45000</v>
      </c>
      <c r="K19" s="215">
        <f t="shared" si="7"/>
        <v>78300</v>
      </c>
      <c r="L19" s="209"/>
      <c r="M19" s="209"/>
    </row>
    <row r="20" spans="1:13" x14ac:dyDescent="0.2">
      <c r="A20" s="213">
        <v>6</v>
      </c>
      <c r="B20" s="214">
        <f t="shared" ref="B20:B34" si="8">B19-D20</f>
        <v>60000</v>
      </c>
      <c r="C20" s="214">
        <f t="shared" si="1"/>
        <v>4500</v>
      </c>
      <c r="D20" s="214">
        <f t="shared" si="0"/>
        <v>15000</v>
      </c>
      <c r="E20" s="214">
        <f t="shared" si="2"/>
        <v>19500</v>
      </c>
      <c r="F20" s="209"/>
      <c r="G20" s="213">
        <f t="shared" si="3"/>
        <v>6</v>
      </c>
      <c r="H20" s="215">
        <f t="shared" si="4"/>
        <v>60000</v>
      </c>
      <c r="I20" s="215">
        <f t="shared" si="5"/>
        <v>37800</v>
      </c>
      <c r="J20" s="215">
        <f t="shared" si="6"/>
        <v>60000</v>
      </c>
      <c r="K20" s="215">
        <f t="shared" si="7"/>
        <v>97800</v>
      </c>
      <c r="L20" s="209"/>
      <c r="M20" s="209"/>
    </row>
    <row r="21" spans="1:13" x14ac:dyDescent="0.2">
      <c r="A21" s="213">
        <v>7</v>
      </c>
      <c r="B21" s="214">
        <f t="shared" si="8"/>
        <v>45000</v>
      </c>
      <c r="C21" s="214">
        <f t="shared" si="1"/>
        <v>3600</v>
      </c>
      <c r="D21" s="214">
        <f t="shared" si="0"/>
        <v>15000</v>
      </c>
      <c r="E21" s="214">
        <f t="shared" si="2"/>
        <v>18600</v>
      </c>
      <c r="F21" s="209"/>
      <c r="G21" s="213">
        <f t="shared" si="3"/>
        <v>7</v>
      </c>
      <c r="H21" s="215">
        <f t="shared" si="4"/>
        <v>45000</v>
      </c>
      <c r="I21" s="215">
        <f t="shared" si="5"/>
        <v>41400</v>
      </c>
      <c r="J21" s="215">
        <f t="shared" si="6"/>
        <v>75000</v>
      </c>
      <c r="K21" s="215">
        <f t="shared" si="7"/>
        <v>116400</v>
      </c>
      <c r="L21" s="209"/>
      <c r="M21" s="209"/>
    </row>
    <row r="22" spans="1:13" x14ac:dyDescent="0.2">
      <c r="A22" s="213">
        <v>8</v>
      </c>
      <c r="B22" s="214">
        <f t="shared" si="8"/>
        <v>30000</v>
      </c>
      <c r="C22" s="214">
        <f t="shared" si="1"/>
        <v>2700</v>
      </c>
      <c r="D22" s="214">
        <f t="shared" si="0"/>
        <v>15000</v>
      </c>
      <c r="E22" s="214">
        <f t="shared" si="2"/>
        <v>17700</v>
      </c>
      <c r="F22" s="209"/>
      <c r="G22" s="213">
        <f t="shared" si="3"/>
        <v>8</v>
      </c>
      <c r="H22" s="215">
        <f t="shared" si="4"/>
        <v>30000</v>
      </c>
      <c r="I22" s="215">
        <f t="shared" si="5"/>
        <v>44100</v>
      </c>
      <c r="J22" s="215">
        <f t="shared" si="6"/>
        <v>90000</v>
      </c>
      <c r="K22" s="215">
        <f t="shared" si="7"/>
        <v>134100</v>
      </c>
      <c r="L22" s="209"/>
      <c r="M22" s="209"/>
    </row>
    <row r="23" spans="1:13" x14ac:dyDescent="0.2">
      <c r="A23" s="213">
        <v>9</v>
      </c>
      <c r="B23" s="214">
        <f t="shared" si="8"/>
        <v>15000</v>
      </c>
      <c r="C23" s="214">
        <f t="shared" si="1"/>
        <v>1800</v>
      </c>
      <c r="D23" s="214">
        <f t="shared" si="0"/>
        <v>15000</v>
      </c>
      <c r="E23" s="214">
        <f t="shared" si="2"/>
        <v>16800</v>
      </c>
      <c r="F23" s="209"/>
      <c r="G23" s="213">
        <f t="shared" si="3"/>
        <v>9</v>
      </c>
      <c r="H23" s="215">
        <f t="shared" si="4"/>
        <v>15000</v>
      </c>
      <c r="I23" s="215">
        <f t="shared" si="5"/>
        <v>45900</v>
      </c>
      <c r="J23" s="215">
        <f t="shared" si="6"/>
        <v>105000</v>
      </c>
      <c r="K23" s="215">
        <f t="shared" si="7"/>
        <v>150900</v>
      </c>
      <c r="L23" s="209"/>
      <c r="M23" s="209"/>
    </row>
    <row r="24" spans="1:13" x14ac:dyDescent="0.2">
      <c r="A24" s="213">
        <v>10</v>
      </c>
      <c r="B24" s="214">
        <f t="shared" si="8"/>
        <v>0</v>
      </c>
      <c r="C24" s="214">
        <f t="shared" si="1"/>
        <v>900</v>
      </c>
      <c r="D24" s="214">
        <f t="shared" si="0"/>
        <v>15000</v>
      </c>
      <c r="E24" s="214">
        <f t="shared" si="2"/>
        <v>15900</v>
      </c>
      <c r="F24" s="209"/>
      <c r="G24" s="213">
        <f t="shared" si="3"/>
        <v>10</v>
      </c>
      <c r="H24" s="215">
        <f t="shared" si="4"/>
        <v>0</v>
      </c>
      <c r="I24" s="215">
        <f t="shared" si="5"/>
        <v>46800</v>
      </c>
      <c r="J24" s="215">
        <f t="shared" si="6"/>
        <v>120000</v>
      </c>
      <c r="K24" s="215">
        <f t="shared" si="7"/>
        <v>166800</v>
      </c>
      <c r="L24" s="209"/>
      <c r="M24" s="209"/>
    </row>
    <row r="25" spans="1:13" x14ac:dyDescent="0.2">
      <c r="A25" s="213">
        <v>11</v>
      </c>
      <c r="B25" s="214">
        <f t="shared" si="8"/>
        <v>0</v>
      </c>
      <c r="C25" s="214">
        <f t="shared" si="1"/>
        <v>0</v>
      </c>
      <c r="D25" s="214">
        <f t="shared" si="0"/>
        <v>0</v>
      </c>
      <c r="E25" s="214">
        <f t="shared" si="2"/>
        <v>0</v>
      </c>
      <c r="F25" s="209"/>
      <c r="G25" s="213">
        <f t="shared" si="3"/>
        <v>11</v>
      </c>
      <c r="H25" s="215">
        <f t="shared" si="4"/>
        <v>0</v>
      </c>
      <c r="I25" s="215">
        <f t="shared" si="5"/>
        <v>46800</v>
      </c>
      <c r="J25" s="215">
        <f t="shared" si="6"/>
        <v>120000</v>
      </c>
      <c r="K25" s="215">
        <f t="shared" si="7"/>
        <v>166800</v>
      </c>
      <c r="L25" s="209"/>
      <c r="M25" s="209"/>
    </row>
    <row r="26" spans="1:13" x14ac:dyDescent="0.2">
      <c r="A26" s="213">
        <v>12</v>
      </c>
      <c r="B26" s="214">
        <f t="shared" si="8"/>
        <v>0</v>
      </c>
      <c r="C26" s="214">
        <f t="shared" si="1"/>
        <v>0</v>
      </c>
      <c r="D26" s="214">
        <f t="shared" si="0"/>
        <v>0</v>
      </c>
      <c r="E26" s="214">
        <f t="shared" si="2"/>
        <v>0</v>
      </c>
      <c r="F26" s="209"/>
      <c r="G26" s="213">
        <f t="shared" si="3"/>
        <v>12</v>
      </c>
      <c r="H26" s="215">
        <f t="shared" si="4"/>
        <v>0</v>
      </c>
      <c r="I26" s="215">
        <f t="shared" si="5"/>
        <v>46800</v>
      </c>
      <c r="J26" s="215">
        <f t="shared" si="6"/>
        <v>120000</v>
      </c>
      <c r="K26" s="215">
        <f t="shared" si="7"/>
        <v>166800</v>
      </c>
      <c r="L26" s="209"/>
      <c r="M26" s="209"/>
    </row>
    <row r="27" spans="1:13" x14ac:dyDescent="0.2">
      <c r="A27" s="213">
        <v>13</v>
      </c>
      <c r="B27" s="214">
        <f t="shared" si="8"/>
        <v>0</v>
      </c>
      <c r="C27" s="214">
        <f t="shared" si="1"/>
        <v>0</v>
      </c>
      <c r="D27" s="214">
        <f t="shared" si="0"/>
        <v>0</v>
      </c>
      <c r="E27" s="214">
        <f t="shared" si="2"/>
        <v>0</v>
      </c>
      <c r="F27" s="209"/>
      <c r="G27" s="213">
        <f t="shared" si="3"/>
        <v>13</v>
      </c>
      <c r="H27" s="215">
        <f t="shared" si="4"/>
        <v>0</v>
      </c>
      <c r="I27" s="215">
        <f t="shared" si="5"/>
        <v>46800</v>
      </c>
      <c r="J27" s="215">
        <f t="shared" si="6"/>
        <v>120000</v>
      </c>
      <c r="K27" s="215">
        <f t="shared" si="7"/>
        <v>166800</v>
      </c>
      <c r="L27" s="209"/>
      <c r="M27" s="209"/>
    </row>
    <row r="28" spans="1:13" x14ac:dyDescent="0.2">
      <c r="A28" s="213">
        <v>14</v>
      </c>
      <c r="B28" s="214">
        <f t="shared" si="8"/>
        <v>0</v>
      </c>
      <c r="C28" s="214">
        <f t="shared" si="1"/>
        <v>0</v>
      </c>
      <c r="D28" s="214">
        <f t="shared" si="0"/>
        <v>0</v>
      </c>
      <c r="E28" s="214">
        <f t="shared" si="2"/>
        <v>0</v>
      </c>
      <c r="F28" s="209"/>
      <c r="G28" s="213">
        <f t="shared" si="3"/>
        <v>14</v>
      </c>
      <c r="H28" s="215">
        <f t="shared" si="4"/>
        <v>0</v>
      </c>
      <c r="I28" s="215">
        <f t="shared" si="5"/>
        <v>46800</v>
      </c>
      <c r="J28" s="215">
        <f t="shared" si="6"/>
        <v>120000</v>
      </c>
      <c r="K28" s="215">
        <f t="shared" si="7"/>
        <v>166800</v>
      </c>
      <c r="L28" s="209"/>
      <c r="M28" s="209"/>
    </row>
    <row r="29" spans="1:13" x14ac:dyDescent="0.2">
      <c r="A29" s="213">
        <v>15</v>
      </c>
      <c r="B29" s="214">
        <f t="shared" si="8"/>
        <v>0</v>
      </c>
      <c r="C29" s="214">
        <f t="shared" si="1"/>
        <v>0</v>
      </c>
      <c r="D29" s="214">
        <f t="shared" si="0"/>
        <v>0</v>
      </c>
      <c r="E29" s="214">
        <f t="shared" si="2"/>
        <v>0</v>
      </c>
      <c r="F29" s="209"/>
      <c r="G29" s="213">
        <f t="shared" si="3"/>
        <v>15</v>
      </c>
      <c r="H29" s="215">
        <f t="shared" si="4"/>
        <v>0</v>
      </c>
      <c r="I29" s="215">
        <f t="shared" si="5"/>
        <v>46800</v>
      </c>
      <c r="J29" s="215">
        <f t="shared" si="6"/>
        <v>120000</v>
      </c>
      <c r="K29" s="215">
        <f t="shared" si="7"/>
        <v>166800</v>
      </c>
      <c r="L29" s="209"/>
      <c r="M29" s="209"/>
    </row>
    <row r="30" spans="1:13" x14ac:dyDescent="0.2">
      <c r="A30" s="213">
        <v>16</v>
      </c>
      <c r="B30" s="214">
        <f t="shared" si="8"/>
        <v>0</v>
      </c>
      <c r="C30" s="214">
        <f t="shared" si="1"/>
        <v>0</v>
      </c>
      <c r="D30" s="214">
        <f t="shared" si="0"/>
        <v>0</v>
      </c>
      <c r="E30" s="214">
        <f t="shared" si="2"/>
        <v>0</v>
      </c>
      <c r="F30" s="209"/>
      <c r="G30" s="213">
        <f t="shared" si="3"/>
        <v>16</v>
      </c>
      <c r="H30" s="215">
        <f t="shared" si="4"/>
        <v>0</v>
      </c>
      <c r="I30" s="215">
        <f t="shared" si="5"/>
        <v>46800</v>
      </c>
      <c r="J30" s="215">
        <f t="shared" si="6"/>
        <v>120000</v>
      </c>
      <c r="K30" s="215">
        <f t="shared" si="7"/>
        <v>166800</v>
      </c>
      <c r="L30" s="209"/>
      <c r="M30" s="209"/>
    </row>
    <row r="31" spans="1:13" x14ac:dyDescent="0.2">
      <c r="A31" s="213">
        <v>17</v>
      </c>
      <c r="B31" s="214">
        <f t="shared" si="8"/>
        <v>0</v>
      </c>
      <c r="C31" s="214">
        <f t="shared" si="1"/>
        <v>0</v>
      </c>
      <c r="D31" s="214">
        <f t="shared" si="0"/>
        <v>0</v>
      </c>
      <c r="E31" s="214">
        <f t="shared" si="2"/>
        <v>0</v>
      </c>
      <c r="F31" s="209"/>
      <c r="G31" s="213">
        <f t="shared" si="3"/>
        <v>17</v>
      </c>
      <c r="H31" s="215">
        <f t="shared" si="4"/>
        <v>0</v>
      </c>
      <c r="I31" s="215">
        <f t="shared" si="5"/>
        <v>46800</v>
      </c>
      <c r="J31" s="215">
        <f t="shared" si="6"/>
        <v>120000</v>
      </c>
      <c r="K31" s="215">
        <f t="shared" si="7"/>
        <v>166800</v>
      </c>
      <c r="L31" s="209"/>
      <c r="M31" s="209"/>
    </row>
    <row r="32" spans="1:13" x14ac:dyDescent="0.2">
      <c r="A32" s="213">
        <v>18</v>
      </c>
      <c r="B32" s="214">
        <f t="shared" si="8"/>
        <v>0</v>
      </c>
      <c r="C32" s="214">
        <f t="shared" si="1"/>
        <v>0</v>
      </c>
      <c r="D32" s="214">
        <f t="shared" si="0"/>
        <v>0</v>
      </c>
      <c r="E32" s="214">
        <f t="shared" si="2"/>
        <v>0</v>
      </c>
      <c r="F32" s="209"/>
      <c r="G32" s="213">
        <f t="shared" si="3"/>
        <v>18</v>
      </c>
      <c r="H32" s="215">
        <f t="shared" si="4"/>
        <v>0</v>
      </c>
      <c r="I32" s="215">
        <f t="shared" si="5"/>
        <v>46800</v>
      </c>
      <c r="J32" s="215">
        <f t="shared" si="6"/>
        <v>120000</v>
      </c>
      <c r="K32" s="215">
        <f t="shared" si="7"/>
        <v>166800</v>
      </c>
      <c r="L32" s="209"/>
      <c r="M32" s="209"/>
    </row>
    <row r="33" spans="1:13" x14ac:dyDescent="0.2">
      <c r="A33" s="213">
        <v>19</v>
      </c>
      <c r="B33" s="214">
        <f t="shared" si="8"/>
        <v>0</v>
      </c>
      <c r="C33" s="214">
        <f t="shared" si="1"/>
        <v>0</v>
      </c>
      <c r="D33" s="214">
        <f t="shared" si="0"/>
        <v>0</v>
      </c>
      <c r="E33" s="214">
        <f t="shared" si="2"/>
        <v>0</v>
      </c>
      <c r="F33" s="209"/>
      <c r="G33" s="213">
        <f t="shared" si="3"/>
        <v>19</v>
      </c>
      <c r="H33" s="215">
        <f t="shared" si="4"/>
        <v>0</v>
      </c>
      <c r="I33" s="215">
        <f t="shared" si="5"/>
        <v>46800</v>
      </c>
      <c r="J33" s="215">
        <f t="shared" si="6"/>
        <v>120000</v>
      </c>
      <c r="K33" s="215">
        <f t="shared" si="7"/>
        <v>166800</v>
      </c>
      <c r="L33" s="209"/>
      <c r="M33" s="209"/>
    </row>
    <row r="34" spans="1:13" x14ac:dyDescent="0.2">
      <c r="A34" s="213">
        <v>20</v>
      </c>
      <c r="B34" s="214">
        <f t="shared" si="8"/>
        <v>0</v>
      </c>
      <c r="C34" s="214">
        <f t="shared" si="1"/>
        <v>0</v>
      </c>
      <c r="D34" s="214">
        <f t="shared" si="0"/>
        <v>0</v>
      </c>
      <c r="E34" s="214">
        <f t="shared" si="2"/>
        <v>0</v>
      </c>
      <c r="F34" s="209"/>
      <c r="G34" s="213">
        <f t="shared" si="3"/>
        <v>20</v>
      </c>
      <c r="H34" s="215">
        <f t="shared" si="4"/>
        <v>0</v>
      </c>
      <c r="I34" s="215">
        <f t="shared" si="5"/>
        <v>46800</v>
      </c>
      <c r="J34" s="215">
        <f t="shared" si="6"/>
        <v>120000</v>
      </c>
      <c r="K34" s="215">
        <f t="shared" si="7"/>
        <v>166800</v>
      </c>
      <c r="L34" s="209"/>
      <c r="M34" s="209"/>
    </row>
    <row r="35" spans="1:13" x14ac:dyDescent="0.2">
      <c r="A35" s="209"/>
      <c r="B35" s="216" t="s">
        <v>152</v>
      </c>
      <c r="C35" s="217">
        <f>SUM(C15:C34)</f>
        <v>46800</v>
      </c>
      <c r="D35" s="217">
        <f>SUM(D15:D34)</f>
        <v>120000</v>
      </c>
      <c r="E35" s="217">
        <f>SUM(E15:E34)</f>
        <v>166800</v>
      </c>
      <c r="F35" s="209"/>
      <c r="G35" s="210"/>
      <c r="H35" s="209"/>
      <c r="I35" s="209"/>
      <c r="J35" s="209"/>
      <c r="K35" s="209"/>
      <c r="L35" s="209"/>
      <c r="M35" s="209"/>
    </row>
    <row r="36" spans="1:13" x14ac:dyDescent="0.2">
      <c r="A36" s="209"/>
      <c r="B36" s="209"/>
      <c r="C36" s="218"/>
      <c r="D36" s="209"/>
      <c r="E36" s="209"/>
      <c r="F36" s="209"/>
      <c r="G36" s="210"/>
      <c r="H36" s="209"/>
      <c r="I36" s="209"/>
      <c r="J36" s="209"/>
      <c r="K36" s="209"/>
      <c r="L36" s="209"/>
      <c r="M36" s="209"/>
    </row>
    <row r="37" spans="1:13" x14ac:dyDescent="0.2">
      <c r="A37" s="209"/>
      <c r="B37" s="209"/>
      <c r="C37" s="209"/>
      <c r="D37" s="209"/>
      <c r="E37" s="209"/>
      <c r="F37" s="209"/>
      <c r="G37" s="210"/>
      <c r="H37" s="209"/>
      <c r="I37" s="209"/>
      <c r="J37" s="209"/>
      <c r="K37" s="209"/>
      <c r="L37" s="209"/>
      <c r="M37" s="209"/>
    </row>
    <row r="38" spans="1:13" x14ac:dyDescent="0.2">
      <c r="A38" s="208" t="s">
        <v>153</v>
      </c>
      <c r="B38" s="209"/>
      <c r="C38" s="209"/>
      <c r="D38" s="209"/>
      <c r="E38" s="209"/>
      <c r="F38" s="209"/>
      <c r="G38" s="210"/>
      <c r="H38" s="209"/>
      <c r="I38" s="209"/>
      <c r="J38" s="209"/>
      <c r="K38" s="209"/>
      <c r="L38" s="209"/>
      <c r="M38" s="209"/>
    </row>
    <row r="39" spans="1:13" x14ac:dyDescent="0.2">
      <c r="A39" s="211" t="s">
        <v>37</v>
      </c>
      <c r="B39" s="212" t="s">
        <v>58</v>
      </c>
      <c r="C39" s="211" t="s">
        <v>41</v>
      </c>
      <c r="D39" s="212" t="s">
        <v>59</v>
      </c>
      <c r="E39" s="211" t="s">
        <v>31</v>
      </c>
      <c r="F39" s="209"/>
      <c r="G39" s="210"/>
      <c r="H39" s="235" t="s">
        <v>151</v>
      </c>
      <c r="I39" s="235"/>
      <c r="J39" s="235"/>
      <c r="K39" s="235"/>
      <c r="L39" s="209"/>
      <c r="M39" s="209"/>
    </row>
    <row r="40" spans="1:13" x14ac:dyDescent="0.2">
      <c r="A40" s="213">
        <v>0</v>
      </c>
      <c r="B40" s="214">
        <f>C4</f>
        <v>120000</v>
      </c>
      <c r="C40" s="214"/>
      <c r="D40" s="214"/>
      <c r="E40" s="214"/>
      <c r="F40" s="209"/>
      <c r="G40" s="211" t="s">
        <v>37</v>
      </c>
      <c r="H40" s="211" t="s">
        <v>58</v>
      </c>
      <c r="I40" s="211" t="s">
        <v>41</v>
      </c>
      <c r="J40" s="212" t="s">
        <v>59</v>
      </c>
      <c r="K40" s="211" t="s">
        <v>31</v>
      </c>
      <c r="L40" s="209"/>
      <c r="M40" s="209"/>
    </row>
    <row r="41" spans="1:13" x14ac:dyDescent="0.2">
      <c r="A41" s="213">
        <v>1</v>
      </c>
      <c r="B41" s="214">
        <f>B40-D41</f>
        <v>120000</v>
      </c>
      <c r="C41" s="214">
        <f>IF(A41&lt;=$C$6, ($C$5*B40/100), 0)</f>
        <v>7200</v>
      </c>
      <c r="D41" s="214">
        <f>IF(A15&lt;=$C$7, 0, IF(A41&lt;=$C$6,(E41-C41), 0))</f>
        <v>0</v>
      </c>
      <c r="E41" s="214">
        <f>IF(A41&lt;=$C$7, C41+D41, IF(A41&lt;=$C$6, ($C$4*($C$8^($C$6-$C$7))*(($C$8-1)/(($C$8^($C$6-$C$7))-1))), 0))</f>
        <v>7200</v>
      </c>
      <c r="F41" s="209"/>
      <c r="G41" s="213">
        <f>A41</f>
        <v>1</v>
      </c>
      <c r="H41" s="215">
        <f>B41</f>
        <v>120000</v>
      </c>
      <c r="I41" s="215">
        <f>C41</f>
        <v>7200</v>
      </c>
      <c r="J41" s="215">
        <f>D41</f>
        <v>0</v>
      </c>
      <c r="K41" s="215">
        <f>E41</f>
        <v>7200</v>
      </c>
      <c r="L41" s="209"/>
      <c r="M41" s="209"/>
    </row>
    <row r="42" spans="1:13" x14ac:dyDescent="0.2">
      <c r="A42" s="213">
        <v>2</v>
      </c>
      <c r="B42" s="214">
        <f>B41-D42</f>
        <v>120000</v>
      </c>
      <c r="C42" s="214">
        <f t="shared" ref="C42:C60" si="9">IF(A42&lt;=$C$6, ($C$5*B41/100), 0)</f>
        <v>7200</v>
      </c>
      <c r="D42" s="214">
        <f t="shared" ref="D42:D60" si="10">IF(A16&lt;=$C$7, 0, IF(A42&lt;=$C$6,(E42-C42), 0))</f>
        <v>0</v>
      </c>
      <c r="E42" s="214">
        <f>IF(A42&lt;=$C$7, C42+D42, IF(A42&lt;=$C$6, ($C$4*($C$8^($C$6-$C$7))*(($C$8-1)/(($C$8^($C$6-$C$7))-1))), 0))</f>
        <v>7200</v>
      </c>
      <c r="F42" s="209"/>
      <c r="G42" s="213">
        <f t="shared" ref="G42:G60" si="11">A42</f>
        <v>2</v>
      </c>
      <c r="H42" s="215">
        <f t="shared" ref="H42:H60" si="12">B42</f>
        <v>120000</v>
      </c>
      <c r="I42" s="215">
        <f t="shared" ref="I42:I60" si="13">C42+I41</f>
        <v>14400</v>
      </c>
      <c r="J42" s="215">
        <f t="shared" ref="J42:J60" si="14">D42+J41</f>
        <v>0</v>
      </c>
      <c r="K42" s="215">
        <f t="shared" ref="K42:K60" si="15">E42+K41</f>
        <v>14400</v>
      </c>
      <c r="L42" s="209"/>
      <c r="M42" s="209"/>
    </row>
    <row r="43" spans="1:13" x14ac:dyDescent="0.2">
      <c r="A43" s="213">
        <v>3</v>
      </c>
      <c r="B43" s="214">
        <f>B42-D43</f>
        <v>107875.6868822245</v>
      </c>
      <c r="C43" s="214">
        <f t="shared" si="9"/>
        <v>7200</v>
      </c>
      <c r="D43" s="214">
        <f t="shared" si="10"/>
        <v>12124.313117775495</v>
      </c>
      <c r="E43" s="214">
        <f>IF(A43&lt;=$C$7, C43+D43, IF(A43&lt;=$C$6, $C$9, 0))</f>
        <v>19324.313117775495</v>
      </c>
      <c r="F43" s="209"/>
      <c r="G43" s="213">
        <f t="shared" si="11"/>
        <v>3</v>
      </c>
      <c r="H43" s="215">
        <f t="shared" si="12"/>
        <v>107875.6868822245</v>
      </c>
      <c r="I43" s="215">
        <f t="shared" si="13"/>
        <v>21600</v>
      </c>
      <c r="J43" s="215">
        <f t="shared" si="14"/>
        <v>12124.313117775495</v>
      </c>
      <c r="K43" s="215">
        <f t="shared" si="15"/>
        <v>33724.313117775499</v>
      </c>
      <c r="L43" s="209"/>
      <c r="M43" s="209"/>
    </row>
    <row r="44" spans="1:13" x14ac:dyDescent="0.2">
      <c r="A44" s="213">
        <v>4</v>
      </c>
      <c r="B44" s="214">
        <f>B43-D44</f>
        <v>95023.914977382476</v>
      </c>
      <c r="C44" s="214">
        <f t="shared" si="9"/>
        <v>6472.54121293347</v>
      </c>
      <c r="D44" s="214">
        <f t="shared" si="10"/>
        <v>12851.771904842026</v>
      </c>
      <c r="E44" s="214">
        <f t="shared" ref="E44:E60" si="16">IF(A44&lt;=$C$7, C44+D44, IF(A44&lt;=$C$6, $C$9, 0))</f>
        <v>19324.313117775495</v>
      </c>
      <c r="F44" s="209"/>
      <c r="G44" s="213">
        <f t="shared" si="11"/>
        <v>4</v>
      </c>
      <c r="H44" s="215">
        <f t="shared" si="12"/>
        <v>95023.914977382476</v>
      </c>
      <c r="I44" s="215">
        <f t="shared" si="13"/>
        <v>28072.541212933469</v>
      </c>
      <c r="J44" s="215">
        <f t="shared" si="14"/>
        <v>24976.085022617521</v>
      </c>
      <c r="K44" s="215">
        <f t="shared" si="15"/>
        <v>53048.626235550997</v>
      </c>
      <c r="L44" s="209"/>
      <c r="M44" s="209"/>
    </row>
    <row r="45" spans="1:13" x14ac:dyDescent="0.2">
      <c r="A45" s="213">
        <v>5</v>
      </c>
      <c r="B45" s="214">
        <f>B44-D45</f>
        <v>81401.036758249931</v>
      </c>
      <c r="C45" s="214">
        <f t="shared" si="9"/>
        <v>5701.4348986429486</v>
      </c>
      <c r="D45" s="214">
        <f t="shared" si="10"/>
        <v>13622.878219132546</v>
      </c>
      <c r="E45" s="214">
        <f t="shared" si="16"/>
        <v>19324.313117775495</v>
      </c>
      <c r="F45" s="209"/>
      <c r="G45" s="213">
        <f t="shared" si="11"/>
        <v>5</v>
      </c>
      <c r="H45" s="215">
        <f t="shared" si="12"/>
        <v>81401.036758249931</v>
      </c>
      <c r="I45" s="215">
        <f t="shared" si="13"/>
        <v>33773.976111576419</v>
      </c>
      <c r="J45" s="215">
        <f t="shared" si="14"/>
        <v>38598.963241750069</v>
      </c>
      <c r="K45" s="215">
        <f t="shared" si="15"/>
        <v>72372.939353326496</v>
      </c>
      <c r="L45" s="209"/>
      <c r="M45" s="209"/>
    </row>
    <row r="46" spans="1:13" x14ac:dyDescent="0.2">
      <c r="A46" s="213">
        <v>6</v>
      </c>
      <c r="B46" s="214">
        <f t="shared" ref="B46:B60" si="17">B45-D46</f>
        <v>66960.785845969425</v>
      </c>
      <c r="C46" s="214">
        <f t="shared" si="9"/>
        <v>4884.0622054949963</v>
      </c>
      <c r="D46" s="214">
        <f t="shared" si="10"/>
        <v>14440.250912280499</v>
      </c>
      <c r="E46" s="214">
        <f t="shared" si="16"/>
        <v>19324.313117775495</v>
      </c>
      <c r="F46" s="209"/>
      <c r="G46" s="213">
        <f t="shared" si="11"/>
        <v>6</v>
      </c>
      <c r="H46" s="215">
        <f t="shared" si="12"/>
        <v>66960.785845969425</v>
      </c>
      <c r="I46" s="215">
        <f t="shared" si="13"/>
        <v>38658.038317071419</v>
      </c>
      <c r="J46" s="215">
        <f t="shared" si="14"/>
        <v>53039.214154030567</v>
      </c>
      <c r="K46" s="215">
        <f t="shared" si="15"/>
        <v>91697.252471101994</v>
      </c>
      <c r="L46" s="209"/>
      <c r="M46" s="209"/>
    </row>
    <row r="47" spans="1:13" x14ac:dyDescent="0.2">
      <c r="A47" s="213">
        <v>7</v>
      </c>
      <c r="B47" s="214">
        <f t="shared" si="17"/>
        <v>51654.1198789521</v>
      </c>
      <c r="C47" s="214">
        <f t="shared" si="9"/>
        <v>4017.6471507581655</v>
      </c>
      <c r="D47" s="214">
        <f t="shared" si="10"/>
        <v>15306.665967017329</v>
      </c>
      <c r="E47" s="214">
        <f t="shared" si="16"/>
        <v>19324.313117775495</v>
      </c>
      <c r="F47" s="209"/>
      <c r="G47" s="213">
        <f t="shared" si="11"/>
        <v>7</v>
      </c>
      <c r="H47" s="215">
        <f t="shared" si="12"/>
        <v>51654.1198789521</v>
      </c>
      <c r="I47" s="215">
        <f t="shared" si="13"/>
        <v>42675.685467829586</v>
      </c>
      <c r="J47" s="215">
        <f t="shared" si="14"/>
        <v>68345.8801210479</v>
      </c>
      <c r="K47" s="215">
        <f t="shared" si="15"/>
        <v>111021.56558887749</v>
      </c>
      <c r="L47" s="209"/>
      <c r="M47" s="209"/>
    </row>
    <row r="48" spans="1:13" x14ac:dyDescent="0.2">
      <c r="A48" s="213">
        <v>8</v>
      </c>
      <c r="B48" s="214">
        <f t="shared" si="17"/>
        <v>35429.053953913732</v>
      </c>
      <c r="C48" s="214">
        <f t="shared" si="9"/>
        <v>3099.2471927371262</v>
      </c>
      <c r="D48" s="214">
        <f t="shared" si="10"/>
        <v>16225.065925038369</v>
      </c>
      <c r="E48" s="214">
        <f t="shared" si="16"/>
        <v>19324.313117775495</v>
      </c>
      <c r="F48" s="209"/>
      <c r="G48" s="213">
        <f t="shared" si="11"/>
        <v>8</v>
      </c>
      <c r="H48" s="215">
        <f t="shared" si="12"/>
        <v>35429.053953913732</v>
      </c>
      <c r="I48" s="215">
        <f t="shared" si="13"/>
        <v>45774.932660566716</v>
      </c>
      <c r="J48" s="215">
        <f t="shared" si="14"/>
        <v>84570.946046086261</v>
      </c>
      <c r="K48" s="215">
        <f t="shared" si="15"/>
        <v>130345.87870665299</v>
      </c>
      <c r="L48" s="209"/>
      <c r="M48" s="209"/>
    </row>
    <row r="49" spans="1:13" x14ac:dyDescent="0.2">
      <c r="A49" s="213">
        <v>9</v>
      </c>
      <c r="B49" s="214">
        <f t="shared" si="17"/>
        <v>18230.48407337306</v>
      </c>
      <c r="C49" s="214">
        <f t="shared" si="9"/>
        <v>2125.7432372348239</v>
      </c>
      <c r="D49" s="214">
        <f t="shared" si="10"/>
        <v>17198.569880540672</v>
      </c>
      <c r="E49" s="214">
        <f t="shared" si="16"/>
        <v>19324.313117775495</v>
      </c>
      <c r="F49" s="209"/>
      <c r="G49" s="213">
        <f t="shared" si="11"/>
        <v>9</v>
      </c>
      <c r="H49" s="215">
        <f t="shared" si="12"/>
        <v>18230.48407337306</v>
      </c>
      <c r="I49" s="215">
        <f t="shared" si="13"/>
        <v>47900.675897801542</v>
      </c>
      <c r="J49" s="215">
        <f t="shared" si="14"/>
        <v>101769.51592662693</v>
      </c>
      <c r="K49" s="215">
        <f t="shared" si="15"/>
        <v>149670.19182442848</v>
      </c>
      <c r="L49" s="209"/>
      <c r="M49" s="209"/>
    </row>
    <row r="50" spans="1:13" x14ac:dyDescent="0.2">
      <c r="A50" s="213">
        <v>10</v>
      </c>
      <c r="B50" s="214">
        <f t="shared" si="17"/>
        <v>-5.0931703299283981E-11</v>
      </c>
      <c r="C50" s="214">
        <f t="shared" si="9"/>
        <v>1093.8290444023835</v>
      </c>
      <c r="D50" s="214">
        <f t="shared" si="10"/>
        <v>18230.484073373111</v>
      </c>
      <c r="E50" s="214">
        <f t="shared" si="16"/>
        <v>19324.313117775495</v>
      </c>
      <c r="F50" s="209"/>
      <c r="G50" s="213">
        <f t="shared" si="11"/>
        <v>10</v>
      </c>
      <c r="H50" s="215">
        <f t="shared" si="12"/>
        <v>-5.0931703299283981E-11</v>
      </c>
      <c r="I50" s="215">
        <f t="shared" si="13"/>
        <v>48994.504942203923</v>
      </c>
      <c r="J50" s="215">
        <f t="shared" si="14"/>
        <v>120000.00000000004</v>
      </c>
      <c r="K50" s="215">
        <f t="shared" si="15"/>
        <v>168994.50494220396</v>
      </c>
      <c r="L50" s="209"/>
      <c r="M50" s="209"/>
    </row>
    <row r="51" spans="1:13" x14ac:dyDescent="0.2">
      <c r="A51" s="213">
        <v>11</v>
      </c>
      <c r="B51" s="214">
        <f t="shared" si="17"/>
        <v>-5.0931703299283981E-11</v>
      </c>
      <c r="C51" s="214">
        <f t="shared" si="9"/>
        <v>0</v>
      </c>
      <c r="D51" s="214">
        <f t="shared" si="10"/>
        <v>0</v>
      </c>
      <c r="E51" s="214">
        <f t="shared" si="16"/>
        <v>0</v>
      </c>
      <c r="F51" s="209"/>
      <c r="G51" s="213">
        <f t="shared" si="11"/>
        <v>11</v>
      </c>
      <c r="H51" s="215">
        <f t="shared" si="12"/>
        <v>-5.0931703299283981E-11</v>
      </c>
      <c r="I51" s="215">
        <f t="shared" si="13"/>
        <v>48994.504942203923</v>
      </c>
      <c r="J51" s="215">
        <f t="shared" si="14"/>
        <v>120000.00000000004</v>
      </c>
      <c r="K51" s="215">
        <f t="shared" si="15"/>
        <v>168994.50494220396</v>
      </c>
      <c r="L51" s="209"/>
      <c r="M51" s="209"/>
    </row>
    <row r="52" spans="1:13" x14ac:dyDescent="0.2">
      <c r="A52" s="213">
        <v>12</v>
      </c>
      <c r="B52" s="214">
        <f t="shared" si="17"/>
        <v>-5.0931703299283981E-11</v>
      </c>
      <c r="C52" s="214">
        <f t="shared" si="9"/>
        <v>0</v>
      </c>
      <c r="D52" s="214">
        <f t="shared" si="10"/>
        <v>0</v>
      </c>
      <c r="E52" s="214">
        <f t="shared" si="16"/>
        <v>0</v>
      </c>
      <c r="F52" s="209"/>
      <c r="G52" s="213">
        <f t="shared" si="11"/>
        <v>12</v>
      </c>
      <c r="H52" s="215">
        <f t="shared" si="12"/>
        <v>-5.0931703299283981E-11</v>
      </c>
      <c r="I52" s="215">
        <f t="shared" si="13"/>
        <v>48994.504942203923</v>
      </c>
      <c r="J52" s="215">
        <f t="shared" si="14"/>
        <v>120000.00000000004</v>
      </c>
      <c r="K52" s="215">
        <f t="shared" si="15"/>
        <v>168994.50494220396</v>
      </c>
      <c r="L52" s="209"/>
      <c r="M52" s="209"/>
    </row>
    <row r="53" spans="1:13" x14ac:dyDescent="0.2">
      <c r="A53" s="213">
        <v>13</v>
      </c>
      <c r="B53" s="214">
        <f t="shared" si="17"/>
        <v>-5.0931703299283981E-11</v>
      </c>
      <c r="C53" s="214">
        <f t="shared" si="9"/>
        <v>0</v>
      </c>
      <c r="D53" s="214">
        <f t="shared" si="10"/>
        <v>0</v>
      </c>
      <c r="E53" s="214">
        <f t="shared" si="16"/>
        <v>0</v>
      </c>
      <c r="F53" s="209"/>
      <c r="G53" s="213">
        <f t="shared" si="11"/>
        <v>13</v>
      </c>
      <c r="H53" s="215">
        <f t="shared" si="12"/>
        <v>-5.0931703299283981E-11</v>
      </c>
      <c r="I53" s="215">
        <f t="shared" si="13"/>
        <v>48994.504942203923</v>
      </c>
      <c r="J53" s="215">
        <f t="shared" si="14"/>
        <v>120000.00000000004</v>
      </c>
      <c r="K53" s="215">
        <f t="shared" si="15"/>
        <v>168994.50494220396</v>
      </c>
      <c r="L53" s="209"/>
      <c r="M53" s="209"/>
    </row>
    <row r="54" spans="1:13" x14ac:dyDescent="0.2">
      <c r="A54" s="213">
        <v>14</v>
      </c>
      <c r="B54" s="214">
        <f t="shared" si="17"/>
        <v>-5.0931703299283981E-11</v>
      </c>
      <c r="C54" s="214">
        <f t="shared" si="9"/>
        <v>0</v>
      </c>
      <c r="D54" s="214">
        <f t="shared" si="10"/>
        <v>0</v>
      </c>
      <c r="E54" s="214">
        <f t="shared" si="16"/>
        <v>0</v>
      </c>
      <c r="F54" s="209"/>
      <c r="G54" s="213">
        <f t="shared" si="11"/>
        <v>14</v>
      </c>
      <c r="H54" s="215">
        <f t="shared" si="12"/>
        <v>-5.0931703299283981E-11</v>
      </c>
      <c r="I54" s="215">
        <f t="shared" si="13"/>
        <v>48994.504942203923</v>
      </c>
      <c r="J54" s="215">
        <f t="shared" si="14"/>
        <v>120000.00000000004</v>
      </c>
      <c r="K54" s="215">
        <f t="shared" si="15"/>
        <v>168994.50494220396</v>
      </c>
      <c r="L54" s="209"/>
      <c r="M54" s="209"/>
    </row>
    <row r="55" spans="1:13" x14ac:dyDescent="0.2">
      <c r="A55" s="213">
        <v>15</v>
      </c>
      <c r="B55" s="214">
        <f t="shared" si="17"/>
        <v>-5.0931703299283981E-11</v>
      </c>
      <c r="C55" s="214">
        <f t="shared" si="9"/>
        <v>0</v>
      </c>
      <c r="D55" s="214">
        <f t="shared" si="10"/>
        <v>0</v>
      </c>
      <c r="E55" s="214">
        <f t="shared" si="16"/>
        <v>0</v>
      </c>
      <c r="F55" s="209"/>
      <c r="G55" s="213">
        <f t="shared" si="11"/>
        <v>15</v>
      </c>
      <c r="H55" s="215">
        <f t="shared" si="12"/>
        <v>-5.0931703299283981E-11</v>
      </c>
      <c r="I55" s="215">
        <f t="shared" si="13"/>
        <v>48994.504942203923</v>
      </c>
      <c r="J55" s="215">
        <f t="shared" si="14"/>
        <v>120000.00000000004</v>
      </c>
      <c r="K55" s="215">
        <f t="shared" si="15"/>
        <v>168994.50494220396</v>
      </c>
      <c r="L55" s="209"/>
      <c r="M55" s="209"/>
    </row>
    <row r="56" spans="1:13" x14ac:dyDescent="0.2">
      <c r="A56" s="213">
        <v>16</v>
      </c>
      <c r="B56" s="214">
        <f t="shared" si="17"/>
        <v>-5.0931703299283981E-11</v>
      </c>
      <c r="C56" s="214">
        <f t="shared" si="9"/>
        <v>0</v>
      </c>
      <c r="D56" s="214">
        <f t="shared" si="10"/>
        <v>0</v>
      </c>
      <c r="E56" s="214">
        <f t="shared" si="16"/>
        <v>0</v>
      </c>
      <c r="F56" s="209"/>
      <c r="G56" s="213">
        <f t="shared" si="11"/>
        <v>16</v>
      </c>
      <c r="H56" s="215">
        <f t="shared" si="12"/>
        <v>-5.0931703299283981E-11</v>
      </c>
      <c r="I56" s="215">
        <f t="shared" si="13"/>
        <v>48994.504942203923</v>
      </c>
      <c r="J56" s="215">
        <f t="shared" si="14"/>
        <v>120000.00000000004</v>
      </c>
      <c r="K56" s="215">
        <f t="shared" si="15"/>
        <v>168994.50494220396</v>
      </c>
      <c r="L56" s="209"/>
      <c r="M56" s="209"/>
    </row>
    <row r="57" spans="1:13" x14ac:dyDescent="0.2">
      <c r="A57" s="213">
        <v>17</v>
      </c>
      <c r="B57" s="214">
        <f t="shared" si="17"/>
        <v>-5.0931703299283981E-11</v>
      </c>
      <c r="C57" s="214">
        <f t="shared" si="9"/>
        <v>0</v>
      </c>
      <c r="D57" s="214">
        <f t="shared" si="10"/>
        <v>0</v>
      </c>
      <c r="E57" s="214">
        <f t="shared" si="16"/>
        <v>0</v>
      </c>
      <c r="F57" s="209"/>
      <c r="G57" s="213">
        <f t="shared" si="11"/>
        <v>17</v>
      </c>
      <c r="H57" s="215">
        <f t="shared" si="12"/>
        <v>-5.0931703299283981E-11</v>
      </c>
      <c r="I57" s="215">
        <f t="shared" si="13"/>
        <v>48994.504942203923</v>
      </c>
      <c r="J57" s="215">
        <f t="shared" si="14"/>
        <v>120000.00000000004</v>
      </c>
      <c r="K57" s="215">
        <f t="shared" si="15"/>
        <v>168994.50494220396</v>
      </c>
      <c r="L57" s="209"/>
      <c r="M57" s="209"/>
    </row>
    <row r="58" spans="1:13" x14ac:dyDescent="0.2">
      <c r="A58" s="213">
        <v>18</v>
      </c>
      <c r="B58" s="214">
        <f t="shared" si="17"/>
        <v>-5.0931703299283981E-11</v>
      </c>
      <c r="C58" s="214">
        <f t="shared" si="9"/>
        <v>0</v>
      </c>
      <c r="D58" s="214">
        <f t="shared" si="10"/>
        <v>0</v>
      </c>
      <c r="E58" s="214">
        <f t="shared" si="16"/>
        <v>0</v>
      </c>
      <c r="F58" s="209"/>
      <c r="G58" s="213">
        <f t="shared" si="11"/>
        <v>18</v>
      </c>
      <c r="H58" s="215">
        <f t="shared" si="12"/>
        <v>-5.0931703299283981E-11</v>
      </c>
      <c r="I58" s="215">
        <f t="shared" si="13"/>
        <v>48994.504942203923</v>
      </c>
      <c r="J58" s="215">
        <f t="shared" si="14"/>
        <v>120000.00000000004</v>
      </c>
      <c r="K58" s="215">
        <f t="shared" si="15"/>
        <v>168994.50494220396</v>
      </c>
      <c r="L58" s="209"/>
      <c r="M58" s="209"/>
    </row>
    <row r="59" spans="1:13" x14ac:dyDescent="0.2">
      <c r="A59" s="213">
        <v>19</v>
      </c>
      <c r="B59" s="214">
        <f t="shared" si="17"/>
        <v>-5.0931703299283981E-11</v>
      </c>
      <c r="C59" s="214">
        <f t="shared" si="9"/>
        <v>0</v>
      </c>
      <c r="D59" s="214">
        <f t="shared" si="10"/>
        <v>0</v>
      </c>
      <c r="E59" s="214">
        <f t="shared" si="16"/>
        <v>0</v>
      </c>
      <c r="F59" s="209"/>
      <c r="G59" s="213">
        <f t="shared" si="11"/>
        <v>19</v>
      </c>
      <c r="H59" s="215">
        <f t="shared" si="12"/>
        <v>-5.0931703299283981E-11</v>
      </c>
      <c r="I59" s="215">
        <f t="shared" si="13"/>
        <v>48994.504942203923</v>
      </c>
      <c r="J59" s="215">
        <f t="shared" si="14"/>
        <v>120000.00000000004</v>
      </c>
      <c r="K59" s="215">
        <f t="shared" si="15"/>
        <v>168994.50494220396</v>
      </c>
      <c r="L59" s="209"/>
      <c r="M59" s="209"/>
    </row>
    <row r="60" spans="1:13" x14ac:dyDescent="0.2">
      <c r="A60" s="213">
        <v>20</v>
      </c>
      <c r="B60" s="214">
        <f t="shared" si="17"/>
        <v>-5.0931703299283981E-11</v>
      </c>
      <c r="C60" s="214">
        <f t="shared" si="9"/>
        <v>0</v>
      </c>
      <c r="D60" s="214">
        <f t="shared" si="10"/>
        <v>0</v>
      </c>
      <c r="E60" s="214">
        <f t="shared" si="16"/>
        <v>0</v>
      </c>
      <c r="F60" s="209"/>
      <c r="G60" s="213">
        <f t="shared" si="11"/>
        <v>20</v>
      </c>
      <c r="H60" s="215">
        <f t="shared" si="12"/>
        <v>-5.0931703299283981E-11</v>
      </c>
      <c r="I60" s="215">
        <f t="shared" si="13"/>
        <v>48994.504942203923</v>
      </c>
      <c r="J60" s="215">
        <f t="shared" si="14"/>
        <v>120000.00000000004</v>
      </c>
      <c r="K60" s="215">
        <f t="shared" si="15"/>
        <v>168994.50494220396</v>
      </c>
      <c r="L60" s="209"/>
      <c r="M60" s="209"/>
    </row>
    <row r="61" spans="1:13" x14ac:dyDescent="0.2">
      <c r="A61" s="209"/>
      <c r="B61" s="216" t="s">
        <v>152</v>
      </c>
      <c r="C61" s="217">
        <f>SUM(C41:C60)</f>
        <v>48994.504942203923</v>
      </c>
      <c r="D61" s="217">
        <f>SUM(D41:D60)</f>
        <v>120000.00000000004</v>
      </c>
      <c r="E61" s="217">
        <f>SUM(E41:E60)</f>
        <v>168994.50494220396</v>
      </c>
      <c r="F61" s="209"/>
      <c r="G61" s="210"/>
      <c r="H61" s="209"/>
      <c r="I61" s="209"/>
      <c r="J61" s="209"/>
      <c r="K61" s="209"/>
      <c r="L61" s="209"/>
      <c r="M61" s="209"/>
    </row>
    <row r="62" spans="1:13" x14ac:dyDescent="0.2">
      <c r="A62" s="209"/>
      <c r="B62" s="209"/>
      <c r="C62" s="218"/>
      <c r="D62" s="209"/>
      <c r="E62" s="209"/>
      <c r="F62" s="209"/>
      <c r="G62" s="210"/>
      <c r="H62" s="209"/>
      <c r="I62" s="209"/>
      <c r="J62" s="209"/>
      <c r="K62" s="209"/>
      <c r="L62" s="209"/>
      <c r="M62" s="209"/>
    </row>
    <row r="63" spans="1:13" x14ac:dyDescent="0.2">
      <c r="A63" s="209"/>
      <c r="B63" s="209"/>
      <c r="C63" s="209"/>
      <c r="D63" s="209"/>
      <c r="E63" s="209"/>
      <c r="F63" s="209"/>
      <c r="G63" s="210"/>
      <c r="H63" s="209"/>
      <c r="I63" s="209"/>
      <c r="J63" s="209"/>
      <c r="K63" s="209"/>
      <c r="L63" s="209"/>
      <c r="M63" s="209"/>
    </row>
    <row r="64" spans="1:13" x14ac:dyDescent="0.2">
      <c r="A64" s="208" t="s">
        <v>154</v>
      </c>
      <c r="B64" s="209"/>
      <c r="C64" s="209"/>
      <c r="D64" s="209"/>
      <c r="E64" s="209"/>
      <c r="F64" s="209"/>
      <c r="G64" s="210"/>
      <c r="H64" s="209"/>
      <c r="I64" s="209"/>
      <c r="J64" s="209"/>
      <c r="K64" s="209"/>
      <c r="L64" s="209"/>
      <c r="M64" s="209"/>
    </row>
    <row r="65" spans="1:13" x14ac:dyDescent="0.2">
      <c r="A65" s="211" t="s">
        <v>37</v>
      </c>
      <c r="B65" s="212" t="s">
        <v>58</v>
      </c>
      <c r="C65" s="211" t="s">
        <v>41</v>
      </c>
      <c r="D65" s="212" t="s">
        <v>59</v>
      </c>
      <c r="E65" s="211" t="s">
        <v>31</v>
      </c>
      <c r="F65" s="209"/>
      <c r="G65" s="210"/>
      <c r="H65" s="235" t="s">
        <v>151</v>
      </c>
      <c r="I65" s="235"/>
      <c r="J65" s="235"/>
      <c r="K65" s="235"/>
      <c r="L65" s="209"/>
      <c r="M65" s="209"/>
    </row>
    <row r="66" spans="1:13" x14ac:dyDescent="0.2">
      <c r="A66" s="213">
        <v>0</v>
      </c>
      <c r="B66" s="214">
        <f>C4</f>
        <v>120000</v>
      </c>
      <c r="C66" s="214"/>
      <c r="D66" s="214"/>
      <c r="E66" s="214"/>
      <c r="F66" s="209"/>
      <c r="G66" s="211" t="s">
        <v>37</v>
      </c>
      <c r="H66" s="211" t="s">
        <v>58</v>
      </c>
      <c r="I66" s="211" t="s">
        <v>41</v>
      </c>
      <c r="J66" s="212" t="s">
        <v>59</v>
      </c>
      <c r="K66" s="211" t="s">
        <v>31</v>
      </c>
      <c r="L66" s="209"/>
      <c r="M66" s="209"/>
    </row>
    <row r="67" spans="1:13" x14ac:dyDescent="0.2">
      <c r="A67" s="213">
        <v>1</v>
      </c>
      <c r="B67" s="214">
        <f>B66-D67</f>
        <v>120000</v>
      </c>
      <c r="C67" s="214">
        <f t="shared" ref="C67:C86" si="18">IF(A15&lt;=$C$6, (B66*$C$5/100), 0)</f>
        <v>7200</v>
      </c>
      <c r="D67" s="214">
        <f>IF(A67&lt;=$C$7, 0, IF(B66&lt;=($C$10-C67),B66, IF(A67&lt;=$C$6, (E67-C67), 0)))</f>
        <v>0</v>
      </c>
      <c r="E67" s="214">
        <f>IF(A67&lt;=$C$7, (C67+D67), IF(B66&lt;=($C$10-C67),D67+C67,IF(A67&lt;=$C$6, ($C$10), 0)))</f>
        <v>7200</v>
      </c>
      <c r="F67" s="209"/>
      <c r="G67" s="213">
        <f>A67</f>
        <v>1</v>
      </c>
      <c r="H67" s="215">
        <f>B67</f>
        <v>120000</v>
      </c>
      <c r="I67" s="215">
        <f>C67</f>
        <v>7200</v>
      </c>
      <c r="J67" s="215">
        <f>D67</f>
        <v>0</v>
      </c>
      <c r="K67" s="215">
        <f>E67</f>
        <v>7200</v>
      </c>
      <c r="L67" s="209"/>
      <c r="M67" s="209"/>
    </row>
    <row r="68" spans="1:13" x14ac:dyDescent="0.2">
      <c r="A68" s="213">
        <v>2</v>
      </c>
      <c r="B68" s="214">
        <f>B67-D68</f>
        <v>120000</v>
      </c>
      <c r="C68" s="214">
        <f t="shared" si="18"/>
        <v>7200</v>
      </c>
      <c r="D68" s="214">
        <f t="shared" ref="D68:D79" si="19">IF(A68&lt;=$C$7, 0, IF(B67&lt;=($C$10-C68),B67,IF(A68&lt;=$C$6, (E68-C68), 0)))</f>
        <v>0</v>
      </c>
      <c r="E68" s="214">
        <f t="shared" ref="E68:E86" si="20">IF(A68&lt;=$C$7, (C68+D68), IF(B67&lt;=($C$10-C68),D68+C68,IF(A68&lt;=$C$6, ($C$10), 0)))</f>
        <v>7200</v>
      </c>
      <c r="F68" s="209"/>
      <c r="G68" s="213">
        <f t="shared" ref="G68:G86" si="21">A68</f>
        <v>2</v>
      </c>
      <c r="H68" s="215">
        <f t="shared" ref="H68:H86" si="22">B68</f>
        <v>120000</v>
      </c>
      <c r="I68" s="215">
        <f t="shared" ref="I68:I86" si="23">C68+I67</f>
        <v>14400</v>
      </c>
      <c r="J68" s="215">
        <f t="shared" ref="J68:J86" si="24">D68+J67</f>
        <v>0</v>
      </c>
      <c r="K68" s="215">
        <f t="shared" ref="K68:K86" si="25">E68+K67</f>
        <v>14400</v>
      </c>
      <c r="L68" s="209"/>
      <c r="M68" s="209"/>
    </row>
    <row r="69" spans="1:13" x14ac:dyDescent="0.2">
      <c r="A69" s="213">
        <v>3</v>
      </c>
      <c r="B69" s="214">
        <f>B68-D69</f>
        <v>107800</v>
      </c>
      <c r="C69" s="214">
        <f t="shared" si="18"/>
        <v>7200</v>
      </c>
      <c r="D69" s="214">
        <f t="shared" si="19"/>
        <v>12200</v>
      </c>
      <c r="E69" s="214">
        <f t="shared" si="20"/>
        <v>19400</v>
      </c>
      <c r="F69" s="209"/>
      <c r="G69" s="213">
        <f t="shared" si="21"/>
        <v>3</v>
      </c>
      <c r="H69" s="215">
        <f t="shared" si="22"/>
        <v>107800</v>
      </c>
      <c r="I69" s="215">
        <f t="shared" si="23"/>
        <v>21600</v>
      </c>
      <c r="J69" s="215">
        <f t="shared" si="24"/>
        <v>12200</v>
      </c>
      <c r="K69" s="215">
        <f t="shared" si="25"/>
        <v>33800</v>
      </c>
      <c r="L69" s="209"/>
      <c r="M69" s="209"/>
    </row>
    <row r="70" spans="1:13" x14ac:dyDescent="0.2">
      <c r="A70" s="213">
        <v>4</v>
      </c>
      <c r="B70" s="214">
        <f>B69-D70</f>
        <v>94868</v>
      </c>
      <c r="C70" s="214">
        <f t="shared" si="18"/>
        <v>6468</v>
      </c>
      <c r="D70" s="214">
        <f t="shared" si="19"/>
        <v>12932</v>
      </c>
      <c r="E70" s="214">
        <f t="shared" si="20"/>
        <v>19400</v>
      </c>
      <c r="F70" s="209"/>
      <c r="G70" s="213">
        <f t="shared" si="21"/>
        <v>4</v>
      </c>
      <c r="H70" s="215">
        <f t="shared" si="22"/>
        <v>94868</v>
      </c>
      <c r="I70" s="215">
        <f t="shared" si="23"/>
        <v>28068</v>
      </c>
      <c r="J70" s="215">
        <f t="shared" si="24"/>
        <v>25132</v>
      </c>
      <c r="K70" s="215">
        <f t="shared" si="25"/>
        <v>53200</v>
      </c>
      <c r="L70" s="209"/>
      <c r="M70" s="209"/>
    </row>
    <row r="71" spans="1:13" x14ac:dyDescent="0.2">
      <c r="A71" s="213">
        <v>5</v>
      </c>
      <c r="B71" s="214">
        <f>B70-D71</f>
        <v>81160.08</v>
      </c>
      <c r="C71" s="214">
        <f t="shared" si="18"/>
        <v>5692.08</v>
      </c>
      <c r="D71" s="214">
        <f t="shared" si="19"/>
        <v>13707.92</v>
      </c>
      <c r="E71" s="214">
        <f t="shared" si="20"/>
        <v>19400</v>
      </c>
      <c r="F71" s="209"/>
      <c r="G71" s="213">
        <f t="shared" si="21"/>
        <v>5</v>
      </c>
      <c r="H71" s="215">
        <f t="shared" si="22"/>
        <v>81160.08</v>
      </c>
      <c r="I71" s="215">
        <f t="shared" si="23"/>
        <v>33760.080000000002</v>
      </c>
      <c r="J71" s="215">
        <f t="shared" si="24"/>
        <v>38839.919999999998</v>
      </c>
      <c r="K71" s="215">
        <f t="shared" si="25"/>
        <v>72600</v>
      </c>
      <c r="L71" s="209"/>
      <c r="M71" s="209"/>
    </row>
    <row r="72" spans="1:13" x14ac:dyDescent="0.2">
      <c r="A72" s="213">
        <v>6</v>
      </c>
      <c r="B72" s="214">
        <f t="shared" ref="B72:B86" si="26">B71-D72</f>
        <v>66629.684800000003</v>
      </c>
      <c r="C72" s="214">
        <f t="shared" si="18"/>
        <v>4869.6048000000001</v>
      </c>
      <c r="D72" s="214">
        <f t="shared" si="19"/>
        <v>14530.395199999999</v>
      </c>
      <c r="E72" s="214">
        <f t="shared" si="20"/>
        <v>19400</v>
      </c>
      <c r="F72" s="209"/>
      <c r="G72" s="213">
        <f t="shared" si="21"/>
        <v>6</v>
      </c>
      <c r="H72" s="215">
        <f t="shared" si="22"/>
        <v>66629.684800000003</v>
      </c>
      <c r="I72" s="215">
        <f t="shared" si="23"/>
        <v>38629.684800000003</v>
      </c>
      <c r="J72" s="215">
        <f t="shared" si="24"/>
        <v>53370.315199999997</v>
      </c>
      <c r="K72" s="215">
        <f t="shared" si="25"/>
        <v>92000</v>
      </c>
      <c r="L72" s="209"/>
      <c r="M72" s="209"/>
    </row>
    <row r="73" spans="1:13" x14ac:dyDescent="0.2">
      <c r="A73" s="213">
        <v>7</v>
      </c>
      <c r="B73" s="214">
        <f t="shared" si="26"/>
        <v>51227.465888000006</v>
      </c>
      <c r="C73" s="214">
        <f t="shared" si="18"/>
        <v>3997.7810880000006</v>
      </c>
      <c r="D73" s="214">
        <f t="shared" si="19"/>
        <v>15402.218912</v>
      </c>
      <c r="E73" s="214">
        <f t="shared" si="20"/>
        <v>19400</v>
      </c>
      <c r="F73" s="209"/>
      <c r="G73" s="213">
        <f t="shared" si="21"/>
        <v>7</v>
      </c>
      <c r="H73" s="215">
        <f t="shared" si="22"/>
        <v>51227.465888000006</v>
      </c>
      <c r="I73" s="215">
        <f t="shared" si="23"/>
        <v>42627.465888000006</v>
      </c>
      <c r="J73" s="215">
        <f t="shared" si="24"/>
        <v>68772.534111999994</v>
      </c>
      <c r="K73" s="215">
        <f t="shared" si="25"/>
        <v>111400</v>
      </c>
      <c r="L73" s="209"/>
      <c r="M73" s="209"/>
    </row>
    <row r="74" spans="1:13" x14ac:dyDescent="0.2">
      <c r="A74" s="213">
        <v>8</v>
      </c>
      <c r="B74" s="214">
        <f t="shared" si="26"/>
        <v>34901.113841280006</v>
      </c>
      <c r="C74" s="214">
        <f t="shared" si="18"/>
        <v>3073.6479532800004</v>
      </c>
      <c r="D74" s="214">
        <f t="shared" si="19"/>
        <v>16326.35204672</v>
      </c>
      <c r="E74" s="214">
        <f t="shared" si="20"/>
        <v>19400</v>
      </c>
      <c r="F74" s="209"/>
      <c r="G74" s="213">
        <f t="shared" si="21"/>
        <v>8</v>
      </c>
      <c r="H74" s="215">
        <f t="shared" si="22"/>
        <v>34901.113841280006</v>
      </c>
      <c r="I74" s="215">
        <f t="shared" si="23"/>
        <v>45701.113841280006</v>
      </c>
      <c r="J74" s="215">
        <f t="shared" si="24"/>
        <v>85098.886158719994</v>
      </c>
      <c r="K74" s="215">
        <f t="shared" si="25"/>
        <v>130800</v>
      </c>
      <c r="L74" s="209"/>
      <c r="M74" s="209"/>
    </row>
    <row r="75" spans="1:13" x14ac:dyDescent="0.2">
      <c r="A75" s="213">
        <v>9</v>
      </c>
      <c r="B75" s="214">
        <f t="shared" si="26"/>
        <v>17595.180671756807</v>
      </c>
      <c r="C75" s="214">
        <f t="shared" si="18"/>
        <v>2094.0668304768005</v>
      </c>
      <c r="D75" s="214">
        <f t="shared" si="19"/>
        <v>17305.933169523199</v>
      </c>
      <c r="E75" s="214">
        <f t="shared" si="20"/>
        <v>19400</v>
      </c>
      <c r="F75" s="209"/>
      <c r="G75" s="213">
        <f t="shared" si="21"/>
        <v>9</v>
      </c>
      <c r="H75" s="215">
        <f t="shared" si="22"/>
        <v>17595.180671756807</v>
      </c>
      <c r="I75" s="215">
        <f t="shared" si="23"/>
        <v>47795.180671756811</v>
      </c>
      <c r="J75" s="215">
        <f t="shared" si="24"/>
        <v>102404.81932824319</v>
      </c>
      <c r="K75" s="215">
        <f t="shared" si="25"/>
        <v>150200</v>
      </c>
      <c r="L75" s="209"/>
      <c r="M75" s="209"/>
    </row>
    <row r="76" spans="1:13" x14ac:dyDescent="0.2">
      <c r="A76" s="213">
        <v>10</v>
      </c>
      <c r="B76" s="214">
        <f t="shared" si="26"/>
        <v>0</v>
      </c>
      <c r="C76" s="214">
        <f t="shared" si="18"/>
        <v>1055.7108403054083</v>
      </c>
      <c r="D76" s="214">
        <f t="shared" si="19"/>
        <v>17595.180671756807</v>
      </c>
      <c r="E76" s="214">
        <f t="shared" si="20"/>
        <v>18650.891512062215</v>
      </c>
      <c r="F76" s="209"/>
      <c r="G76" s="213">
        <f t="shared" si="21"/>
        <v>10</v>
      </c>
      <c r="H76" s="215">
        <f t="shared" si="22"/>
        <v>0</v>
      </c>
      <c r="I76" s="215">
        <f t="shared" si="23"/>
        <v>48850.891512062219</v>
      </c>
      <c r="J76" s="215">
        <f t="shared" si="24"/>
        <v>120000</v>
      </c>
      <c r="K76" s="215">
        <f t="shared" si="25"/>
        <v>168850.89151206223</v>
      </c>
      <c r="L76" s="209"/>
      <c r="M76" s="209"/>
    </row>
    <row r="77" spans="1:13" x14ac:dyDescent="0.2">
      <c r="A77" s="213">
        <v>11</v>
      </c>
      <c r="B77" s="214">
        <f t="shared" si="26"/>
        <v>0</v>
      </c>
      <c r="C77" s="214">
        <f t="shared" si="18"/>
        <v>0</v>
      </c>
      <c r="D77" s="214">
        <f t="shared" si="19"/>
        <v>0</v>
      </c>
      <c r="E77" s="214">
        <f t="shared" si="20"/>
        <v>0</v>
      </c>
      <c r="F77" s="209"/>
      <c r="G77" s="213">
        <f t="shared" si="21"/>
        <v>11</v>
      </c>
      <c r="H77" s="215">
        <f t="shared" si="22"/>
        <v>0</v>
      </c>
      <c r="I77" s="215">
        <f t="shared" si="23"/>
        <v>48850.891512062219</v>
      </c>
      <c r="J77" s="215">
        <f t="shared" si="24"/>
        <v>120000</v>
      </c>
      <c r="K77" s="215">
        <f t="shared" si="25"/>
        <v>168850.89151206223</v>
      </c>
      <c r="L77" s="209"/>
      <c r="M77" s="209"/>
    </row>
    <row r="78" spans="1:13" x14ac:dyDescent="0.2">
      <c r="A78" s="213">
        <v>12</v>
      </c>
      <c r="B78" s="214">
        <f t="shared" si="26"/>
        <v>0</v>
      </c>
      <c r="C78" s="214">
        <f t="shared" si="18"/>
        <v>0</v>
      </c>
      <c r="D78" s="214">
        <f t="shared" si="19"/>
        <v>0</v>
      </c>
      <c r="E78" s="214">
        <f t="shared" si="20"/>
        <v>0</v>
      </c>
      <c r="F78" s="209"/>
      <c r="G78" s="213">
        <f t="shared" si="21"/>
        <v>12</v>
      </c>
      <c r="H78" s="215">
        <f t="shared" si="22"/>
        <v>0</v>
      </c>
      <c r="I78" s="215">
        <f t="shared" si="23"/>
        <v>48850.891512062219</v>
      </c>
      <c r="J78" s="215">
        <f t="shared" si="24"/>
        <v>120000</v>
      </c>
      <c r="K78" s="215">
        <f t="shared" si="25"/>
        <v>168850.89151206223</v>
      </c>
      <c r="L78" s="209"/>
      <c r="M78" s="209"/>
    </row>
    <row r="79" spans="1:13" x14ac:dyDescent="0.2">
      <c r="A79" s="213">
        <v>13</v>
      </c>
      <c r="B79" s="214">
        <f t="shared" si="26"/>
        <v>0</v>
      </c>
      <c r="C79" s="214">
        <f t="shared" si="18"/>
        <v>0</v>
      </c>
      <c r="D79" s="214">
        <f t="shared" si="19"/>
        <v>0</v>
      </c>
      <c r="E79" s="214">
        <f t="shared" si="20"/>
        <v>0</v>
      </c>
      <c r="F79" s="209"/>
      <c r="G79" s="213">
        <f t="shared" si="21"/>
        <v>13</v>
      </c>
      <c r="H79" s="215">
        <f t="shared" si="22"/>
        <v>0</v>
      </c>
      <c r="I79" s="215">
        <f t="shared" si="23"/>
        <v>48850.891512062219</v>
      </c>
      <c r="J79" s="215">
        <f t="shared" si="24"/>
        <v>120000</v>
      </c>
      <c r="K79" s="215">
        <f t="shared" si="25"/>
        <v>168850.89151206223</v>
      </c>
      <c r="L79" s="209"/>
      <c r="M79" s="209"/>
    </row>
    <row r="80" spans="1:13" x14ac:dyDescent="0.2">
      <c r="A80" s="213">
        <v>14</v>
      </c>
      <c r="B80" s="214">
        <f t="shared" si="26"/>
        <v>0</v>
      </c>
      <c r="C80" s="214">
        <f t="shared" si="18"/>
        <v>0</v>
      </c>
      <c r="D80" s="214">
        <f t="shared" ref="D80:D86" si="27">IF(A28&lt;=$C$7, 0, IF(B79&lt;=($C$10-C80),B79,IF(A80&lt;=$C$6, (E80-C80), 0)))</f>
        <v>0</v>
      </c>
      <c r="E80" s="214">
        <f t="shared" si="20"/>
        <v>0</v>
      </c>
      <c r="F80" s="209"/>
      <c r="G80" s="213">
        <f t="shared" si="21"/>
        <v>14</v>
      </c>
      <c r="H80" s="215">
        <f t="shared" si="22"/>
        <v>0</v>
      </c>
      <c r="I80" s="215">
        <f t="shared" si="23"/>
        <v>48850.891512062219</v>
      </c>
      <c r="J80" s="215">
        <f t="shared" si="24"/>
        <v>120000</v>
      </c>
      <c r="K80" s="215">
        <f t="shared" si="25"/>
        <v>168850.89151206223</v>
      </c>
      <c r="L80" s="209"/>
      <c r="M80" s="209"/>
    </row>
    <row r="81" spans="1:13" x14ac:dyDescent="0.2">
      <c r="A81" s="213">
        <v>15</v>
      </c>
      <c r="B81" s="214">
        <f t="shared" si="26"/>
        <v>0</v>
      </c>
      <c r="C81" s="214">
        <f t="shared" si="18"/>
        <v>0</v>
      </c>
      <c r="D81" s="214">
        <f t="shared" si="27"/>
        <v>0</v>
      </c>
      <c r="E81" s="214">
        <f t="shared" si="20"/>
        <v>0</v>
      </c>
      <c r="F81" s="209"/>
      <c r="G81" s="213">
        <f t="shared" si="21"/>
        <v>15</v>
      </c>
      <c r="H81" s="215">
        <f t="shared" si="22"/>
        <v>0</v>
      </c>
      <c r="I81" s="215">
        <f t="shared" si="23"/>
        <v>48850.891512062219</v>
      </c>
      <c r="J81" s="215">
        <f t="shared" si="24"/>
        <v>120000</v>
      </c>
      <c r="K81" s="215">
        <f t="shared" si="25"/>
        <v>168850.89151206223</v>
      </c>
      <c r="L81" s="209"/>
      <c r="M81" s="209"/>
    </row>
    <row r="82" spans="1:13" x14ac:dyDescent="0.2">
      <c r="A82" s="213">
        <v>16</v>
      </c>
      <c r="B82" s="214">
        <f t="shared" si="26"/>
        <v>0</v>
      </c>
      <c r="C82" s="214">
        <f t="shared" si="18"/>
        <v>0</v>
      </c>
      <c r="D82" s="214">
        <f t="shared" si="27"/>
        <v>0</v>
      </c>
      <c r="E82" s="214">
        <f t="shared" si="20"/>
        <v>0</v>
      </c>
      <c r="F82" s="209"/>
      <c r="G82" s="213">
        <f t="shared" si="21"/>
        <v>16</v>
      </c>
      <c r="H82" s="215">
        <f t="shared" si="22"/>
        <v>0</v>
      </c>
      <c r="I82" s="215">
        <f t="shared" si="23"/>
        <v>48850.891512062219</v>
      </c>
      <c r="J82" s="215">
        <f t="shared" si="24"/>
        <v>120000</v>
      </c>
      <c r="K82" s="215">
        <f t="shared" si="25"/>
        <v>168850.89151206223</v>
      </c>
      <c r="L82" s="209"/>
      <c r="M82" s="209"/>
    </row>
    <row r="83" spans="1:13" x14ac:dyDescent="0.2">
      <c r="A83" s="213">
        <v>17</v>
      </c>
      <c r="B83" s="214">
        <f t="shared" si="26"/>
        <v>0</v>
      </c>
      <c r="C83" s="214">
        <f t="shared" si="18"/>
        <v>0</v>
      </c>
      <c r="D83" s="214">
        <f t="shared" si="27"/>
        <v>0</v>
      </c>
      <c r="E83" s="214">
        <f t="shared" si="20"/>
        <v>0</v>
      </c>
      <c r="F83" s="209"/>
      <c r="G83" s="213">
        <f t="shared" si="21"/>
        <v>17</v>
      </c>
      <c r="H83" s="215">
        <f t="shared" si="22"/>
        <v>0</v>
      </c>
      <c r="I83" s="215">
        <f t="shared" si="23"/>
        <v>48850.891512062219</v>
      </c>
      <c r="J83" s="215">
        <f t="shared" si="24"/>
        <v>120000</v>
      </c>
      <c r="K83" s="215">
        <f t="shared" si="25"/>
        <v>168850.89151206223</v>
      </c>
      <c r="L83" s="209"/>
      <c r="M83" s="209"/>
    </row>
    <row r="84" spans="1:13" x14ac:dyDescent="0.2">
      <c r="A84" s="213">
        <v>18</v>
      </c>
      <c r="B84" s="214">
        <f t="shared" si="26"/>
        <v>0</v>
      </c>
      <c r="C84" s="214">
        <f t="shared" si="18"/>
        <v>0</v>
      </c>
      <c r="D84" s="214">
        <f t="shared" si="27"/>
        <v>0</v>
      </c>
      <c r="E84" s="214">
        <f t="shared" si="20"/>
        <v>0</v>
      </c>
      <c r="F84" s="209"/>
      <c r="G84" s="213">
        <f t="shared" si="21"/>
        <v>18</v>
      </c>
      <c r="H84" s="215">
        <f t="shared" si="22"/>
        <v>0</v>
      </c>
      <c r="I84" s="215">
        <f t="shared" si="23"/>
        <v>48850.891512062219</v>
      </c>
      <c r="J84" s="215">
        <f t="shared" si="24"/>
        <v>120000</v>
      </c>
      <c r="K84" s="215">
        <f t="shared" si="25"/>
        <v>168850.89151206223</v>
      </c>
      <c r="L84" s="209"/>
      <c r="M84" s="209"/>
    </row>
    <row r="85" spans="1:13" x14ac:dyDescent="0.2">
      <c r="A85" s="213">
        <v>19</v>
      </c>
      <c r="B85" s="214">
        <f t="shared" si="26"/>
        <v>0</v>
      </c>
      <c r="C85" s="214">
        <f t="shared" si="18"/>
        <v>0</v>
      </c>
      <c r="D85" s="214">
        <f t="shared" si="27"/>
        <v>0</v>
      </c>
      <c r="E85" s="214">
        <f t="shared" si="20"/>
        <v>0</v>
      </c>
      <c r="F85" s="209"/>
      <c r="G85" s="213">
        <f t="shared" si="21"/>
        <v>19</v>
      </c>
      <c r="H85" s="215">
        <f t="shared" si="22"/>
        <v>0</v>
      </c>
      <c r="I85" s="215">
        <f t="shared" si="23"/>
        <v>48850.891512062219</v>
      </c>
      <c r="J85" s="215">
        <f t="shared" si="24"/>
        <v>120000</v>
      </c>
      <c r="K85" s="215">
        <f t="shared" si="25"/>
        <v>168850.89151206223</v>
      </c>
      <c r="L85" s="209"/>
      <c r="M85" s="209"/>
    </row>
    <row r="86" spans="1:13" x14ac:dyDescent="0.2">
      <c r="A86" s="213">
        <v>20</v>
      </c>
      <c r="B86" s="214">
        <f t="shared" si="26"/>
        <v>0</v>
      </c>
      <c r="C86" s="214">
        <f t="shared" si="18"/>
        <v>0</v>
      </c>
      <c r="D86" s="214">
        <f t="shared" si="27"/>
        <v>0</v>
      </c>
      <c r="E86" s="214">
        <f t="shared" si="20"/>
        <v>0</v>
      </c>
      <c r="F86" s="209"/>
      <c r="G86" s="213">
        <f t="shared" si="21"/>
        <v>20</v>
      </c>
      <c r="H86" s="215">
        <f t="shared" si="22"/>
        <v>0</v>
      </c>
      <c r="I86" s="215">
        <f t="shared" si="23"/>
        <v>48850.891512062219</v>
      </c>
      <c r="J86" s="215">
        <f t="shared" si="24"/>
        <v>120000</v>
      </c>
      <c r="K86" s="215">
        <f t="shared" si="25"/>
        <v>168850.89151206223</v>
      </c>
      <c r="L86" s="209"/>
      <c r="M86" s="209"/>
    </row>
    <row r="87" spans="1:13" x14ac:dyDescent="0.2">
      <c r="A87" s="209"/>
      <c r="B87" s="216" t="s">
        <v>152</v>
      </c>
      <c r="C87" s="217">
        <f>SUM(C67:C86)</f>
        <v>48850.891512062219</v>
      </c>
      <c r="D87" s="217">
        <f>SUM(D67:D86)</f>
        <v>120000</v>
      </c>
      <c r="E87" s="217">
        <f>SUM(E67:E86)</f>
        <v>168850.89151206223</v>
      </c>
      <c r="F87" s="209"/>
      <c r="G87" s="210"/>
      <c r="H87" s="209"/>
      <c r="I87" s="209"/>
      <c r="J87" s="209"/>
      <c r="K87" s="209"/>
      <c r="L87" s="209"/>
      <c r="M87" s="209"/>
    </row>
    <row r="88" spans="1:13" x14ac:dyDescent="0.2">
      <c r="A88" s="209"/>
      <c r="B88" s="209"/>
      <c r="C88" s="218"/>
      <c r="D88" s="209"/>
      <c r="E88" s="209"/>
      <c r="F88" s="209"/>
      <c r="G88" s="210"/>
      <c r="H88" s="209"/>
      <c r="I88" s="209"/>
      <c r="J88" s="209"/>
      <c r="K88" s="209"/>
      <c r="L88" s="209"/>
      <c r="M88" s="209"/>
    </row>
    <row r="89" spans="1:13" x14ac:dyDescent="0.2">
      <c r="A89" s="209"/>
      <c r="B89" s="209"/>
      <c r="C89" s="209"/>
      <c r="D89" s="209"/>
      <c r="E89" s="209"/>
      <c r="F89" s="209"/>
      <c r="G89" s="210"/>
      <c r="H89" s="209"/>
      <c r="I89" s="209"/>
      <c r="J89" s="209"/>
      <c r="K89" s="209"/>
      <c r="L89" s="209"/>
      <c r="M89" s="209"/>
    </row>
    <row r="90" spans="1:13" x14ac:dyDescent="0.2">
      <c r="A90" s="208" t="s">
        <v>62</v>
      </c>
      <c r="B90" s="209"/>
      <c r="C90" s="209"/>
      <c r="D90" s="209"/>
      <c r="E90" s="209"/>
      <c r="F90" s="209"/>
      <c r="G90" s="210"/>
      <c r="H90" s="209"/>
      <c r="I90" s="209"/>
      <c r="J90" s="209"/>
      <c r="K90" s="209"/>
      <c r="L90" s="209"/>
      <c r="M90" s="209"/>
    </row>
    <row r="91" spans="1:13" x14ac:dyDescent="0.2">
      <c r="A91" s="211" t="s">
        <v>37</v>
      </c>
      <c r="B91" s="212" t="s">
        <v>58</v>
      </c>
      <c r="C91" s="211" t="s">
        <v>41</v>
      </c>
      <c r="D91" s="212" t="s">
        <v>59</v>
      </c>
      <c r="E91" s="211" t="s">
        <v>31</v>
      </c>
      <c r="F91" s="209"/>
      <c r="G91" s="210"/>
      <c r="H91" s="235" t="s">
        <v>151</v>
      </c>
      <c r="I91" s="235"/>
      <c r="J91" s="235"/>
      <c r="K91" s="235"/>
      <c r="L91" s="209"/>
      <c r="M91" s="209"/>
    </row>
    <row r="92" spans="1:13" x14ac:dyDescent="0.2">
      <c r="A92" s="213">
        <v>0</v>
      </c>
      <c r="B92" s="214">
        <f>C4</f>
        <v>120000</v>
      </c>
      <c r="C92" s="214"/>
      <c r="D92" s="214"/>
      <c r="E92" s="214"/>
      <c r="F92" s="209"/>
      <c r="G92" s="211" t="s">
        <v>37</v>
      </c>
      <c r="H92" s="211" t="s">
        <v>58</v>
      </c>
      <c r="I92" s="211" t="s">
        <v>41</v>
      </c>
      <c r="J92" s="212" t="s">
        <v>59</v>
      </c>
      <c r="K92" s="211" t="s">
        <v>31</v>
      </c>
      <c r="L92" s="209"/>
      <c r="M92" s="209"/>
    </row>
    <row r="93" spans="1:13" x14ac:dyDescent="0.2">
      <c r="A93" s="213">
        <v>1</v>
      </c>
      <c r="B93" s="214">
        <f>B92-D93</f>
        <v>120000</v>
      </c>
      <c r="C93" s="214">
        <f t="shared" ref="C93:C112" si="28">IF(A15&lt;=$C$6, (B92*$C$5/100), 0)</f>
        <v>7200</v>
      </c>
      <c r="D93" s="214">
        <f t="shared" ref="D93:D112" si="29">IF(A15=$C$6, $C$4, 0)</f>
        <v>0</v>
      </c>
      <c r="E93" s="214">
        <f>C93+D93</f>
        <v>7200</v>
      </c>
      <c r="F93" s="209"/>
      <c r="G93" s="213">
        <f>A93</f>
        <v>1</v>
      </c>
      <c r="H93" s="215">
        <f>B93</f>
        <v>120000</v>
      </c>
      <c r="I93" s="215">
        <f>C93</f>
        <v>7200</v>
      </c>
      <c r="J93" s="215">
        <f>D93</f>
        <v>0</v>
      </c>
      <c r="K93" s="215">
        <f>E93</f>
        <v>7200</v>
      </c>
      <c r="L93" s="209"/>
      <c r="M93" s="209"/>
    </row>
    <row r="94" spans="1:13" x14ac:dyDescent="0.2">
      <c r="A94" s="213">
        <v>2</v>
      </c>
      <c r="B94" s="214">
        <f>B93-D94</f>
        <v>120000</v>
      </c>
      <c r="C94" s="214">
        <f t="shared" si="28"/>
        <v>7200</v>
      </c>
      <c r="D94" s="214">
        <f t="shared" si="29"/>
        <v>0</v>
      </c>
      <c r="E94" s="214">
        <f>C94+D94</f>
        <v>7200</v>
      </c>
      <c r="F94" s="209"/>
      <c r="G94" s="213">
        <f t="shared" ref="G94:G112" si="30">A94</f>
        <v>2</v>
      </c>
      <c r="H94" s="215">
        <f t="shared" ref="H94:H112" si="31">B94</f>
        <v>120000</v>
      </c>
      <c r="I94" s="215">
        <f t="shared" ref="I94:I112" si="32">C94+I93</f>
        <v>14400</v>
      </c>
      <c r="J94" s="215">
        <f t="shared" ref="J94:J112" si="33">D94+J93</f>
        <v>0</v>
      </c>
      <c r="K94" s="215">
        <f t="shared" ref="K94:K112" si="34">E94+K93</f>
        <v>14400</v>
      </c>
      <c r="L94" s="209"/>
      <c r="M94" s="209"/>
    </row>
    <row r="95" spans="1:13" x14ac:dyDescent="0.2">
      <c r="A95" s="213">
        <v>3</v>
      </c>
      <c r="B95" s="214">
        <f>B94-D95</f>
        <v>120000</v>
      </c>
      <c r="C95" s="214">
        <f t="shared" si="28"/>
        <v>7200</v>
      </c>
      <c r="D95" s="214">
        <f t="shared" si="29"/>
        <v>0</v>
      </c>
      <c r="E95" s="214">
        <f>C95+D95</f>
        <v>7200</v>
      </c>
      <c r="F95" s="209"/>
      <c r="G95" s="213">
        <f t="shared" si="30"/>
        <v>3</v>
      </c>
      <c r="H95" s="215">
        <f t="shared" si="31"/>
        <v>120000</v>
      </c>
      <c r="I95" s="215">
        <f t="shared" si="32"/>
        <v>21600</v>
      </c>
      <c r="J95" s="215">
        <f t="shared" si="33"/>
        <v>0</v>
      </c>
      <c r="K95" s="215">
        <f t="shared" si="34"/>
        <v>21600</v>
      </c>
      <c r="L95" s="209"/>
      <c r="M95" s="209"/>
    </row>
    <row r="96" spans="1:13" x14ac:dyDescent="0.2">
      <c r="A96" s="213">
        <v>4</v>
      </c>
      <c r="B96" s="214">
        <f>B95-D96</f>
        <v>120000</v>
      </c>
      <c r="C96" s="214">
        <f t="shared" si="28"/>
        <v>7200</v>
      </c>
      <c r="D96" s="214">
        <f t="shared" si="29"/>
        <v>0</v>
      </c>
      <c r="E96" s="214">
        <f>C96+D96</f>
        <v>7200</v>
      </c>
      <c r="F96" s="209"/>
      <c r="G96" s="213">
        <f t="shared" si="30"/>
        <v>4</v>
      </c>
      <c r="H96" s="215">
        <f t="shared" si="31"/>
        <v>120000</v>
      </c>
      <c r="I96" s="215">
        <f t="shared" si="32"/>
        <v>28800</v>
      </c>
      <c r="J96" s="215">
        <f t="shared" si="33"/>
        <v>0</v>
      </c>
      <c r="K96" s="215">
        <f t="shared" si="34"/>
        <v>28800</v>
      </c>
      <c r="L96" s="209"/>
      <c r="M96" s="209"/>
    </row>
    <row r="97" spans="1:13" x14ac:dyDescent="0.2">
      <c r="A97" s="213">
        <v>5</v>
      </c>
      <c r="B97" s="214">
        <f>B96-D97</f>
        <v>120000</v>
      </c>
      <c r="C97" s="214">
        <f t="shared" si="28"/>
        <v>7200</v>
      </c>
      <c r="D97" s="214">
        <f t="shared" si="29"/>
        <v>0</v>
      </c>
      <c r="E97" s="214">
        <f>C97+D97</f>
        <v>7200</v>
      </c>
      <c r="F97" s="209"/>
      <c r="G97" s="213">
        <f t="shared" si="30"/>
        <v>5</v>
      </c>
      <c r="H97" s="215">
        <f t="shared" si="31"/>
        <v>120000</v>
      </c>
      <c r="I97" s="215">
        <f t="shared" si="32"/>
        <v>36000</v>
      </c>
      <c r="J97" s="215">
        <f t="shared" si="33"/>
        <v>0</v>
      </c>
      <c r="K97" s="215">
        <f t="shared" si="34"/>
        <v>36000</v>
      </c>
      <c r="L97" s="209"/>
      <c r="M97" s="209"/>
    </row>
    <row r="98" spans="1:13" x14ac:dyDescent="0.2">
      <c r="A98" s="213">
        <v>6</v>
      </c>
      <c r="B98" s="214">
        <f t="shared" ref="B98:B112" si="35">B97-D98</f>
        <v>120000</v>
      </c>
      <c r="C98" s="214">
        <f t="shared" si="28"/>
        <v>7200</v>
      </c>
      <c r="D98" s="214">
        <f t="shared" si="29"/>
        <v>0</v>
      </c>
      <c r="E98" s="214">
        <f t="shared" ref="E98:E112" si="36">C98+D98</f>
        <v>7200</v>
      </c>
      <c r="F98" s="209"/>
      <c r="G98" s="213">
        <f t="shared" si="30"/>
        <v>6</v>
      </c>
      <c r="H98" s="215">
        <f t="shared" si="31"/>
        <v>120000</v>
      </c>
      <c r="I98" s="215">
        <f t="shared" si="32"/>
        <v>43200</v>
      </c>
      <c r="J98" s="215">
        <f t="shared" si="33"/>
        <v>0</v>
      </c>
      <c r="K98" s="215">
        <f t="shared" si="34"/>
        <v>43200</v>
      </c>
      <c r="L98" s="209"/>
      <c r="M98" s="209"/>
    </row>
    <row r="99" spans="1:13" x14ac:dyDescent="0.2">
      <c r="A99" s="213">
        <v>7</v>
      </c>
      <c r="B99" s="214">
        <f t="shared" si="35"/>
        <v>120000</v>
      </c>
      <c r="C99" s="214">
        <f t="shared" si="28"/>
        <v>7200</v>
      </c>
      <c r="D99" s="214">
        <f t="shared" si="29"/>
        <v>0</v>
      </c>
      <c r="E99" s="214">
        <f t="shared" si="36"/>
        <v>7200</v>
      </c>
      <c r="F99" s="209"/>
      <c r="G99" s="213">
        <f t="shared" si="30"/>
        <v>7</v>
      </c>
      <c r="H99" s="215">
        <f t="shared" si="31"/>
        <v>120000</v>
      </c>
      <c r="I99" s="215">
        <f t="shared" si="32"/>
        <v>50400</v>
      </c>
      <c r="J99" s="215">
        <f t="shared" si="33"/>
        <v>0</v>
      </c>
      <c r="K99" s="215">
        <f t="shared" si="34"/>
        <v>50400</v>
      </c>
      <c r="L99" s="209"/>
      <c r="M99" s="209"/>
    </row>
    <row r="100" spans="1:13" x14ac:dyDescent="0.2">
      <c r="A100" s="213">
        <v>8</v>
      </c>
      <c r="B100" s="214">
        <f t="shared" si="35"/>
        <v>120000</v>
      </c>
      <c r="C100" s="214">
        <f t="shared" si="28"/>
        <v>7200</v>
      </c>
      <c r="D100" s="214">
        <f t="shared" si="29"/>
        <v>0</v>
      </c>
      <c r="E100" s="214">
        <f t="shared" si="36"/>
        <v>7200</v>
      </c>
      <c r="F100" s="209"/>
      <c r="G100" s="213">
        <f t="shared" si="30"/>
        <v>8</v>
      </c>
      <c r="H100" s="215">
        <f t="shared" si="31"/>
        <v>120000</v>
      </c>
      <c r="I100" s="215">
        <f t="shared" si="32"/>
        <v>57600</v>
      </c>
      <c r="J100" s="215">
        <f t="shared" si="33"/>
        <v>0</v>
      </c>
      <c r="K100" s="215">
        <f t="shared" si="34"/>
        <v>57600</v>
      </c>
      <c r="L100" s="209"/>
      <c r="M100" s="209"/>
    </row>
    <row r="101" spans="1:13" x14ac:dyDescent="0.2">
      <c r="A101" s="213">
        <v>9</v>
      </c>
      <c r="B101" s="214">
        <f t="shared" si="35"/>
        <v>120000</v>
      </c>
      <c r="C101" s="214">
        <f t="shared" si="28"/>
        <v>7200</v>
      </c>
      <c r="D101" s="214">
        <f t="shared" si="29"/>
        <v>0</v>
      </c>
      <c r="E101" s="214">
        <f t="shared" si="36"/>
        <v>7200</v>
      </c>
      <c r="F101" s="209"/>
      <c r="G101" s="213">
        <f t="shared" si="30"/>
        <v>9</v>
      </c>
      <c r="H101" s="215">
        <f t="shared" si="31"/>
        <v>120000</v>
      </c>
      <c r="I101" s="215">
        <f t="shared" si="32"/>
        <v>64800</v>
      </c>
      <c r="J101" s="215">
        <f t="shared" si="33"/>
        <v>0</v>
      </c>
      <c r="K101" s="215">
        <f t="shared" si="34"/>
        <v>64800</v>
      </c>
      <c r="L101" s="209"/>
      <c r="M101" s="209"/>
    </row>
    <row r="102" spans="1:13" x14ac:dyDescent="0.2">
      <c r="A102" s="213">
        <v>10</v>
      </c>
      <c r="B102" s="214">
        <f t="shared" si="35"/>
        <v>0</v>
      </c>
      <c r="C102" s="214">
        <f t="shared" si="28"/>
        <v>7200</v>
      </c>
      <c r="D102" s="214">
        <f t="shared" si="29"/>
        <v>120000</v>
      </c>
      <c r="E102" s="214">
        <f t="shared" si="36"/>
        <v>127200</v>
      </c>
      <c r="F102" s="209"/>
      <c r="G102" s="213">
        <f t="shared" si="30"/>
        <v>10</v>
      </c>
      <c r="H102" s="215">
        <f t="shared" si="31"/>
        <v>0</v>
      </c>
      <c r="I102" s="215">
        <f t="shared" si="32"/>
        <v>72000</v>
      </c>
      <c r="J102" s="215">
        <f t="shared" si="33"/>
        <v>120000</v>
      </c>
      <c r="K102" s="215">
        <f t="shared" si="34"/>
        <v>192000</v>
      </c>
      <c r="L102" s="209"/>
      <c r="M102" s="209"/>
    </row>
    <row r="103" spans="1:13" x14ac:dyDescent="0.2">
      <c r="A103" s="213">
        <v>11</v>
      </c>
      <c r="B103" s="214">
        <f t="shared" si="35"/>
        <v>0</v>
      </c>
      <c r="C103" s="214">
        <f t="shared" si="28"/>
        <v>0</v>
      </c>
      <c r="D103" s="214">
        <f t="shared" si="29"/>
        <v>0</v>
      </c>
      <c r="E103" s="214">
        <f t="shared" si="36"/>
        <v>0</v>
      </c>
      <c r="F103" s="209"/>
      <c r="G103" s="213">
        <f t="shared" si="30"/>
        <v>11</v>
      </c>
      <c r="H103" s="215">
        <f t="shared" si="31"/>
        <v>0</v>
      </c>
      <c r="I103" s="215">
        <f t="shared" si="32"/>
        <v>72000</v>
      </c>
      <c r="J103" s="215">
        <f t="shared" si="33"/>
        <v>120000</v>
      </c>
      <c r="K103" s="215">
        <f t="shared" si="34"/>
        <v>192000</v>
      </c>
      <c r="L103" s="209"/>
      <c r="M103" s="209"/>
    </row>
    <row r="104" spans="1:13" x14ac:dyDescent="0.2">
      <c r="A104" s="213">
        <v>12</v>
      </c>
      <c r="B104" s="214">
        <f t="shared" si="35"/>
        <v>0</v>
      </c>
      <c r="C104" s="214">
        <f t="shared" si="28"/>
        <v>0</v>
      </c>
      <c r="D104" s="214">
        <f t="shared" si="29"/>
        <v>0</v>
      </c>
      <c r="E104" s="214">
        <f t="shared" si="36"/>
        <v>0</v>
      </c>
      <c r="F104" s="209"/>
      <c r="G104" s="213">
        <f t="shared" si="30"/>
        <v>12</v>
      </c>
      <c r="H104" s="215">
        <f t="shared" si="31"/>
        <v>0</v>
      </c>
      <c r="I104" s="215">
        <f t="shared" si="32"/>
        <v>72000</v>
      </c>
      <c r="J104" s="215">
        <f t="shared" si="33"/>
        <v>120000</v>
      </c>
      <c r="K104" s="215">
        <f t="shared" si="34"/>
        <v>192000</v>
      </c>
      <c r="L104" s="209"/>
      <c r="M104" s="209"/>
    </row>
    <row r="105" spans="1:13" x14ac:dyDescent="0.2">
      <c r="A105" s="213">
        <v>13</v>
      </c>
      <c r="B105" s="214">
        <f t="shared" si="35"/>
        <v>0</v>
      </c>
      <c r="C105" s="214">
        <f t="shared" si="28"/>
        <v>0</v>
      </c>
      <c r="D105" s="214">
        <f t="shared" si="29"/>
        <v>0</v>
      </c>
      <c r="E105" s="214">
        <f t="shared" si="36"/>
        <v>0</v>
      </c>
      <c r="F105" s="209"/>
      <c r="G105" s="213">
        <f t="shared" si="30"/>
        <v>13</v>
      </c>
      <c r="H105" s="215">
        <f t="shared" si="31"/>
        <v>0</v>
      </c>
      <c r="I105" s="215">
        <f t="shared" si="32"/>
        <v>72000</v>
      </c>
      <c r="J105" s="215">
        <f t="shared" si="33"/>
        <v>120000</v>
      </c>
      <c r="K105" s="215">
        <f t="shared" si="34"/>
        <v>192000</v>
      </c>
      <c r="L105" s="209"/>
      <c r="M105" s="209"/>
    </row>
    <row r="106" spans="1:13" x14ac:dyDescent="0.2">
      <c r="A106" s="213">
        <v>14</v>
      </c>
      <c r="B106" s="214">
        <f t="shared" si="35"/>
        <v>0</v>
      </c>
      <c r="C106" s="214">
        <f t="shared" si="28"/>
        <v>0</v>
      </c>
      <c r="D106" s="214">
        <f t="shared" si="29"/>
        <v>0</v>
      </c>
      <c r="E106" s="214">
        <f t="shared" si="36"/>
        <v>0</v>
      </c>
      <c r="F106" s="209"/>
      <c r="G106" s="213">
        <f t="shared" si="30"/>
        <v>14</v>
      </c>
      <c r="H106" s="215">
        <f t="shared" si="31"/>
        <v>0</v>
      </c>
      <c r="I106" s="215">
        <f t="shared" si="32"/>
        <v>72000</v>
      </c>
      <c r="J106" s="215">
        <f t="shared" si="33"/>
        <v>120000</v>
      </c>
      <c r="K106" s="215">
        <f t="shared" si="34"/>
        <v>192000</v>
      </c>
      <c r="L106" s="209"/>
      <c r="M106" s="209"/>
    </row>
    <row r="107" spans="1:13" x14ac:dyDescent="0.2">
      <c r="A107" s="213">
        <v>15</v>
      </c>
      <c r="B107" s="214">
        <f t="shared" si="35"/>
        <v>0</v>
      </c>
      <c r="C107" s="214">
        <f t="shared" si="28"/>
        <v>0</v>
      </c>
      <c r="D107" s="214">
        <f t="shared" si="29"/>
        <v>0</v>
      </c>
      <c r="E107" s="214">
        <f t="shared" si="36"/>
        <v>0</v>
      </c>
      <c r="F107" s="209"/>
      <c r="G107" s="213">
        <f t="shared" si="30"/>
        <v>15</v>
      </c>
      <c r="H107" s="215">
        <f t="shared" si="31"/>
        <v>0</v>
      </c>
      <c r="I107" s="215">
        <f t="shared" si="32"/>
        <v>72000</v>
      </c>
      <c r="J107" s="215">
        <f t="shared" si="33"/>
        <v>120000</v>
      </c>
      <c r="K107" s="215">
        <f t="shared" si="34"/>
        <v>192000</v>
      </c>
      <c r="L107" s="209"/>
      <c r="M107" s="209"/>
    </row>
    <row r="108" spans="1:13" x14ac:dyDescent="0.2">
      <c r="A108" s="213">
        <v>16</v>
      </c>
      <c r="B108" s="214">
        <f t="shared" si="35"/>
        <v>0</v>
      </c>
      <c r="C108" s="214">
        <f t="shared" si="28"/>
        <v>0</v>
      </c>
      <c r="D108" s="214">
        <f t="shared" si="29"/>
        <v>0</v>
      </c>
      <c r="E108" s="214">
        <f t="shared" si="36"/>
        <v>0</v>
      </c>
      <c r="F108" s="209"/>
      <c r="G108" s="213">
        <f t="shared" si="30"/>
        <v>16</v>
      </c>
      <c r="H108" s="215">
        <f t="shared" si="31"/>
        <v>0</v>
      </c>
      <c r="I108" s="215">
        <f t="shared" si="32"/>
        <v>72000</v>
      </c>
      <c r="J108" s="215">
        <f t="shared" si="33"/>
        <v>120000</v>
      </c>
      <c r="K108" s="215">
        <f t="shared" si="34"/>
        <v>192000</v>
      </c>
      <c r="L108" s="209"/>
      <c r="M108" s="209"/>
    </row>
    <row r="109" spans="1:13" x14ac:dyDescent="0.2">
      <c r="A109" s="213">
        <v>17</v>
      </c>
      <c r="B109" s="214">
        <f t="shared" si="35"/>
        <v>0</v>
      </c>
      <c r="C109" s="214">
        <f t="shared" si="28"/>
        <v>0</v>
      </c>
      <c r="D109" s="214">
        <f t="shared" si="29"/>
        <v>0</v>
      </c>
      <c r="E109" s="214">
        <f t="shared" si="36"/>
        <v>0</v>
      </c>
      <c r="F109" s="209"/>
      <c r="G109" s="213">
        <f t="shared" si="30"/>
        <v>17</v>
      </c>
      <c r="H109" s="215">
        <f t="shared" si="31"/>
        <v>0</v>
      </c>
      <c r="I109" s="215">
        <f t="shared" si="32"/>
        <v>72000</v>
      </c>
      <c r="J109" s="215">
        <f t="shared" si="33"/>
        <v>120000</v>
      </c>
      <c r="K109" s="215">
        <f t="shared" si="34"/>
        <v>192000</v>
      </c>
      <c r="L109" s="209"/>
      <c r="M109" s="209"/>
    </row>
    <row r="110" spans="1:13" x14ac:dyDescent="0.2">
      <c r="A110" s="213">
        <v>18</v>
      </c>
      <c r="B110" s="214">
        <f t="shared" si="35"/>
        <v>0</v>
      </c>
      <c r="C110" s="214">
        <f t="shared" si="28"/>
        <v>0</v>
      </c>
      <c r="D110" s="214">
        <f t="shared" si="29"/>
        <v>0</v>
      </c>
      <c r="E110" s="214">
        <f t="shared" si="36"/>
        <v>0</v>
      </c>
      <c r="F110" s="209"/>
      <c r="G110" s="213">
        <f t="shared" si="30"/>
        <v>18</v>
      </c>
      <c r="H110" s="215">
        <f t="shared" si="31"/>
        <v>0</v>
      </c>
      <c r="I110" s="215">
        <f t="shared" si="32"/>
        <v>72000</v>
      </c>
      <c r="J110" s="215">
        <f t="shared" si="33"/>
        <v>120000</v>
      </c>
      <c r="K110" s="215">
        <f t="shared" si="34"/>
        <v>192000</v>
      </c>
      <c r="L110" s="209"/>
      <c r="M110" s="209"/>
    </row>
    <row r="111" spans="1:13" x14ac:dyDescent="0.2">
      <c r="A111" s="213">
        <v>19</v>
      </c>
      <c r="B111" s="214">
        <f t="shared" si="35"/>
        <v>0</v>
      </c>
      <c r="C111" s="214">
        <f t="shared" si="28"/>
        <v>0</v>
      </c>
      <c r="D111" s="214">
        <f t="shared" si="29"/>
        <v>0</v>
      </c>
      <c r="E111" s="214">
        <f t="shared" si="36"/>
        <v>0</v>
      </c>
      <c r="F111" s="209"/>
      <c r="G111" s="213">
        <f t="shared" si="30"/>
        <v>19</v>
      </c>
      <c r="H111" s="215">
        <f t="shared" si="31"/>
        <v>0</v>
      </c>
      <c r="I111" s="215">
        <f t="shared" si="32"/>
        <v>72000</v>
      </c>
      <c r="J111" s="215">
        <f t="shared" si="33"/>
        <v>120000</v>
      </c>
      <c r="K111" s="215">
        <f t="shared" si="34"/>
        <v>192000</v>
      </c>
      <c r="L111" s="209"/>
      <c r="M111" s="209"/>
    </row>
    <row r="112" spans="1:13" x14ac:dyDescent="0.2">
      <c r="A112" s="213">
        <v>20</v>
      </c>
      <c r="B112" s="214">
        <f t="shared" si="35"/>
        <v>0</v>
      </c>
      <c r="C112" s="214">
        <f t="shared" si="28"/>
        <v>0</v>
      </c>
      <c r="D112" s="214">
        <f t="shared" si="29"/>
        <v>0</v>
      </c>
      <c r="E112" s="214">
        <f t="shared" si="36"/>
        <v>0</v>
      </c>
      <c r="F112" s="209"/>
      <c r="G112" s="213">
        <f t="shared" si="30"/>
        <v>20</v>
      </c>
      <c r="H112" s="215">
        <f t="shared" si="31"/>
        <v>0</v>
      </c>
      <c r="I112" s="215">
        <f t="shared" si="32"/>
        <v>72000</v>
      </c>
      <c r="J112" s="215">
        <f t="shared" si="33"/>
        <v>120000</v>
      </c>
      <c r="K112" s="215">
        <f t="shared" si="34"/>
        <v>192000</v>
      </c>
      <c r="L112" s="209"/>
      <c r="M112" s="209"/>
    </row>
    <row r="113" spans="1:13" x14ac:dyDescent="0.2">
      <c r="A113" s="209"/>
      <c r="B113" s="216" t="s">
        <v>152</v>
      </c>
      <c r="C113" s="219">
        <f>SUM(C93:C112)</f>
        <v>72000</v>
      </c>
      <c r="D113" s="219">
        <f t="shared" ref="D113:E113" si="37">SUM(D93:D112)</f>
        <v>120000</v>
      </c>
      <c r="E113" s="219">
        <f t="shared" si="37"/>
        <v>192000</v>
      </c>
      <c r="F113" s="209"/>
      <c r="G113" s="210"/>
      <c r="H113" s="209"/>
      <c r="I113" s="209"/>
      <c r="J113" s="209"/>
      <c r="K113" s="209"/>
      <c r="L113" s="209"/>
      <c r="M113" s="209"/>
    </row>
    <row r="114" spans="1:13" x14ac:dyDescent="0.2">
      <c r="A114" s="209"/>
      <c r="B114" s="209"/>
      <c r="C114" s="209"/>
      <c r="D114" s="209"/>
      <c r="E114" s="209"/>
      <c r="F114" s="209"/>
      <c r="G114" s="210"/>
      <c r="H114" s="209"/>
      <c r="I114" s="209"/>
      <c r="J114" s="209"/>
      <c r="K114" s="209"/>
      <c r="L114" s="209"/>
      <c r="M114" s="209"/>
    </row>
    <row r="115" spans="1:13" x14ac:dyDescent="0.2">
      <c r="A115" s="209"/>
      <c r="B115" s="209"/>
      <c r="C115" s="209"/>
      <c r="D115" s="209"/>
      <c r="E115" s="209"/>
      <c r="F115" s="209"/>
      <c r="G115" s="210"/>
      <c r="H115" s="209"/>
      <c r="I115" s="209"/>
      <c r="J115" s="209"/>
      <c r="K115" s="209"/>
      <c r="L115" s="209"/>
      <c r="M115" s="209"/>
    </row>
    <row r="116" spans="1:13" x14ac:dyDescent="0.2">
      <c r="A116" s="209"/>
      <c r="B116" s="209"/>
      <c r="C116" s="209"/>
      <c r="D116" s="209"/>
      <c r="E116" s="209"/>
      <c r="F116" s="209"/>
      <c r="G116" s="210"/>
      <c r="H116" s="209"/>
      <c r="I116" s="209"/>
      <c r="J116" s="209"/>
      <c r="K116" s="209"/>
      <c r="L116" s="209"/>
      <c r="M116" s="209"/>
    </row>
    <row r="117" spans="1:13" x14ac:dyDescent="0.2">
      <c r="A117" s="209"/>
      <c r="B117" s="209"/>
      <c r="C117" s="209"/>
      <c r="D117" s="209"/>
      <c r="E117" s="209"/>
      <c r="F117" s="209"/>
      <c r="G117" s="210"/>
      <c r="H117" s="209"/>
      <c r="I117" s="209"/>
      <c r="J117" s="209"/>
      <c r="K117" s="209"/>
      <c r="L117" s="209"/>
      <c r="M117" s="209"/>
    </row>
    <row r="118" spans="1:13" x14ac:dyDescent="0.2">
      <c r="A118" s="209"/>
      <c r="B118" s="209"/>
      <c r="C118" s="209"/>
      <c r="D118" s="209"/>
      <c r="E118" s="209"/>
      <c r="F118" s="209"/>
      <c r="G118" s="210"/>
      <c r="H118" s="209"/>
      <c r="I118" s="209"/>
      <c r="J118" s="209"/>
      <c r="K118" s="209"/>
      <c r="L118" s="209"/>
      <c r="M118" s="209"/>
    </row>
  </sheetData>
  <sheetProtection password="BBA6" sheet="1" objects="1" scenarios="1"/>
  <mergeCells count="4">
    <mergeCell ref="H13:K13"/>
    <mergeCell ref="H39:K39"/>
    <mergeCell ref="H65:K65"/>
    <mergeCell ref="H91:K91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2" r:id="rId4" name="Button 2">
              <controlPr defaultSize="0" print="0" autoFill="0" autoPict="0">
                <anchor moveWithCells="1" sizeWithCells="1">
                  <from>
                    <xdr:col>0</xdr:col>
                    <xdr:colOff>47625</xdr:colOff>
                    <xdr:row>0</xdr:row>
                    <xdr:rowOff>123825</xdr:rowOff>
                  </from>
                  <to>
                    <xdr:col>1</xdr:col>
                    <xdr:colOff>1000125</xdr:colOff>
                    <xdr:row>0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8"/>
  <sheetViews>
    <sheetView showGridLines="0" workbookViewId="0">
      <selection activeCell="B19" sqref="B19"/>
    </sheetView>
  </sheetViews>
  <sheetFormatPr baseColWidth="10" defaultRowHeight="12.75" x14ac:dyDescent="0.2"/>
  <cols>
    <col min="1" max="1" width="2.7109375" customWidth="1"/>
    <col min="2" max="2" width="13.7109375" customWidth="1"/>
    <col min="3" max="6" width="15.7109375" customWidth="1"/>
  </cols>
  <sheetData>
    <row r="1" spans="1:6" s="195" customFormat="1" ht="67.5" customHeight="1" x14ac:dyDescent="0.2">
      <c r="A1" s="194"/>
      <c r="B1" s="194"/>
      <c r="C1" s="194"/>
      <c r="D1" s="194"/>
      <c r="E1" s="194"/>
      <c r="F1" s="194"/>
    </row>
    <row r="2" spans="1:6" s="60" customFormat="1" ht="18.600000000000001" customHeight="1" x14ac:dyDescent="0.2">
      <c r="A2" s="55" t="s">
        <v>145</v>
      </c>
      <c r="B2" s="58"/>
      <c r="C2" s="59"/>
      <c r="D2" s="59"/>
      <c r="E2" s="59"/>
      <c r="F2" s="59"/>
    </row>
    <row r="3" spans="1:6" s="195" customFormat="1" x14ac:dyDescent="0.2">
      <c r="A3" s="194"/>
      <c r="B3" s="194"/>
      <c r="C3" s="194"/>
      <c r="D3" s="194"/>
      <c r="E3" s="194"/>
      <c r="F3" s="194"/>
    </row>
    <row r="4" spans="1:6" s="195" customFormat="1" x14ac:dyDescent="0.2">
      <c r="A4" s="194"/>
      <c r="B4" s="236" t="s">
        <v>104</v>
      </c>
      <c r="C4" s="237"/>
      <c r="D4" s="196">
        <v>40200</v>
      </c>
      <c r="E4" s="197"/>
      <c r="F4" s="194"/>
    </row>
    <row r="5" spans="1:6" s="195" customFormat="1" x14ac:dyDescent="0.2">
      <c r="A5" s="194"/>
      <c r="B5" s="191"/>
      <c r="C5" s="192" t="s">
        <v>24</v>
      </c>
      <c r="D5" s="198">
        <v>0.04</v>
      </c>
      <c r="E5" s="197"/>
      <c r="F5" s="194"/>
    </row>
    <row r="6" spans="1:6" s="195" customFormat="1" x14ac:dyDescent="0.2">
      <c r="A6" s="194"/>
      <c r="B6" s="194"/>
      <c r="C6" s="194"/>
      <c r="D6" s="194"/>
      <c r="E6" s="194"/>
      <c r="F6" s="194"/>
    </row>
    <row r="7" spans="1:6" s="199" customFormat="1" x14ac:dyDescent="0.2">
      <c r="A7" s="46"/>
      <c r="B7" s="47" t="s">
        <v>105</v>
      </c>
      <c r="C7" s="48" t="s">
        <v>106</v>
      </c>
      <c r="D7" s="47" t="s">
        <v>107</v>
      </c>
      <c r="E7" s="47" t="s">
        <v>108</v>
      </c>
      <c r="F7" s="48" t="s">
        <v>109</v>
      </c>
    </row>
    <row r="8" spans="1:6" s="195" customFormat="1" x14ac:dyDescent="0.2">
      <c r="A8" s="194"/>
      <c r="B8" s="49" t="s">
        <v>110</v>
      </c>
      <c r="C8" s="200">
        <v>75000</v>
      </c>
      <c r="D8" s="51">
        <f>ROUND(IF($D$4&lt;=0,0,IF(($C$13*$D$5)&lt;=$D$4,(C8*$D$5),(($D$4/$C$13)*C8))),2)</f>
        <v>3000</v>
      </c>
      <c r="E8" s="51">
        <f>ROUND(IF(C8&lt;=0,0,IF($D$4&lt;=0,0,IF(($D$4-$D$13)&gt;=0,(($D$4-$D$13)/$B$13),0))),2)</f>
        <v>7730</v>
      </c>
      <c r="F8" s="50">
        <f>ROUND(IF(C8&lt;=0,0,IF($D$4&lt;=0,($D$4/$B$13),SUM(D8:E8))),2)</f>
        <v>10730</v>
      </c>
    </row>
    <row r="9" spans="1:6" s="195" customFormat="1" x14ac:dyDescent="0.2">
      <c r="A9" s="194"/>
      <c r="B9" s="49" t="s">
        <v>111</v>
      </c>
      <c r="C9" s="200">
        <v>56000</v>
      </c>
      <c r="D9" s="51">
        <f t="shared" ref="D9:D12" si="0">ROUND(IF($D$4&lt;=0,0,IF(($C$13*$D$5)&lt;=$D$4,(C9*$D$5),(($D$4/$C$13)*C9))),2)</f>
        <v>2240</v>
      </c>
      <c r="E9" s="51">
        <f t="shared" ref="E9:E12" si="1">ROUND(IF(C9&lt;=0,0,IF($D$4&lt;=0,0,IF(($D$4-$D$13)&gt;=0,(($D$4-$D$13)/$B$13),0))),2)</f>
        <v>7730</v>
      </c>
      <c r="F9" s="50">
        <f t="shared" ref="F9:F12" si="2">ROUND(IF(C9&lt;=0,0,IF($D$4&lt;=0,($D$4/$B$13),SUM(D9:E9))),2)</f>
        <v>9970</v>
      </c>
    </row>
    <row r="10" spans="1:6" s="195" customFormat="1" x14ac:dyDescent="0.2">
      <c r="A10" s="194"/>
      <c r="B10" s="49" t="s">
        <v>112</v>
      </c>
      <c r="C10" s="200">
        <v>39000</v>
      </c>
      <c r="D10" s="51">
        <f t="shared" si="0"/>
        <v>1560</v>
      </c>
      <c r="E10" s="51">
        <f t="shared" si="1"/>
        <v>7730</v>
      </c>
      <c r="F10" s="50">
        <f t="shared" si="2"/>
        <v>9290</v>
      </c>
    </row>
    <row r="11" spans="1:6" s="195" customFormat="1" x14ac:dyDescent="0.2">
      <c r="A11" s="194"/>
      <c r="B11" s="49" t="s">
        <v>146</v>
      </c>
      <c r="C11" s="200">
        <v>62000</v>
      </c>
      <c r="D11" s="51">
        <f t="shared" si="0"/>
        <v>2480</v>
      </c>
      <c r="E11" s="51">
        <f t="shared" si="1"/>
        <v>7730</v>
      </c>
      <c r="F11" s="50">
        <f t="shared" si="2"/>
        <v>10210</v>
      </c>
    </row>
    <row r="12" spans="1:6" s="195" customFormat="1" x14ac:dyDescent="0.2">
      <c r="A12" s="194"/>
      <c r="B12" s="49" t="s">
        <v>147</v>
      </c>
      <c r="C12" s="200">
        <v>0</v>
      </c>
      <c r="D12" s="51">
        <f t="shared" si="0"/>
        <v>0</v>
      </c>
      <c r="E12" s="51">
        <f t="shared" si="1"/>
        <v>0</v>
      </c>
      <c r="F12" s="50">
        <f t="shared" si="2"/>
        <v>0</v>
      </c>
    </row>
    <row r="13" spans="1:6" s="195" customFormat="1" x14ac:dyDescent="0.2">
      <c r="A13" s="194"/>
      <c r="B13" s="201">
        <f>IF(C8&lt;=0,0,1)+IF(C9&lt;=0,0,1)+IF(C10&lt;=0,0,1)+IF(C11&lt;=0,0,1)+IF(C12&lt;=0,0,1)</f>
        <v>4</v>
      </c>
      <c r="C13" s="52">
        <f>SUM(C8:C12)</f>
        <v>232000</v>
      </c>
      <c r="D13" s="53">
        <f>SUM(D8:D12)</f>
        <v>9280</v>
      </c>
      <c r="E13" s="53">
        <f>SUM(E8:E12)</f>
        <v>30920</v>
      </c>
      <c r="F13" s="52">
        <f>SUM(F8:F12)</f>
        <v>40200</v>
      </c>
    </row>
    <row r="14" spans="1:6" s="195" customFormat="1" x14ac:dyDescent="0.2"/>
    <row r="15" spans="1:6" s="17" customFormat="1" x14ac:dyDescent="0.2"/>
    <row r="16" spans="1:6" s="17" customFormat="1" x14ac:dyDescent="0.2">
      <c r="B16" s="17" t="s">
        <v>148</v>
      </c>
    </row>
    <row r="17" s="193" customFormat="1" x14ac:dyDescent="0.2"/>
    <row r="18" s="193" customFormat="1" x14ac:dyDescent="0.2"/>
  </sheetData>
  <sheetProtection password="BBA6" sheet="1" objects="1" scenarios="1"/>
  <mergeCells count="1">
    <mergeCell ref="B4:C4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4" r:id="rId4" name="Button 2">
              <controlPr defaultSize="0" print="0" autoFill="0" autoPict="0">
                <anchor moveWithCells="1" sizeWithCells="1">
                  <from>
                    <xdr:col>0</xdr:col>
                    <xdr:colOff>76200</xdr:colOff>
                    <xdr:row>0</xdr:row>
                    <xdr:rowOff>133350</xdr:rowOff>
                  </from>
                  <to>
                    <xdr:col>2</xdr:col>
                    <xdr:colOff>428625</xdr:colOff>
                    <xdr:row>0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5"/>
  <sheetViews>
    <sheetView showGridLines="0" showRowColHeaders="0" workbookViewId="0"/>
  </sheetViews>
  <sheetFormatPr baseColWidth="10" defaultColWidth="11.5703125" defaultRowHeight="12" x14ac:dyDescent="0.2"/>
  <cols>
    <col min="1" max="16384" width="11.5703125" style="63"/>
  </cols>
  <sheetData>
    <row r="1" spans="1:6" ht="52.15" customHeight="1" x14ac:dyDescent="0.2">
      <c r="A1" s="61"/>
      <c r="B1" s="62"/>
    </row>
    <row r="2" spans="1:6" s="45" customFormat="1" ht="18.600000000000001" customHeight="1" x14ac:dyDescent="0.2">
      <c r="A2" s="34" t="s">
        <v>113</v>
      </c>
      <c r="B2" s="34"/>
      <c r="C2" s="34"/>
      <c r="D2" s="34"/>
      <c r="E2" s="34"/>
      <c r="F2" s="34"/>
    </row>
    <row r="4" spans="1:6" x14ac:dyDescent="0.2">
      <c r="A4" s="238" t="s">
        <v>114</v>
      </c>
      <c r="B4" s="238"/>
      <c r="C4" s="238"/>
      <c r="D4" s="81" t="s">
        <v>115</v>
      </c>
      <c r="E4" s="81" t="s">
        <v>116</v>
      </c>
      <c r="F4" s="81" t="s">
        <v>117</v>
      </c>
    </row>
    <row r="5" spans="1:6" x14ac:dyDescent="0.2">
      <c r="A5" s="82">
        <v>0.75</v>
      </c>
      <c r="B5" s="83">
        <v>0.11</v>
      </c>
      <c r="C5" s="83">
        <v>0.55000000000000004</v>
      </c>
      <c r="D5" s="84">
        <v>5</v>
      </c>
      <c r="E5" s="84">
        <v>8</v>
      </c>
      <c r="F5" s="84">
        <v>2</v>
      </c>
    </row>
    <row r="6" spans="1:6" x14ac:dyDescent="0.2">
      <c r="A6" s="85"/>
      <c r="B6" s="86"/>
      <c r="C6" s="87">
        <f>100%-C5</f>
        <v>0.44999999999999996</v>
      </c>
      <c r="D6" s="84">
        <v>4</v>
      </c>
      <c r="E6" s="84">
        <v>4</v>
      </c>
      <c r="F6" s="84">
        <v>4</v>
      </c>
    </row>
    <row r="7" spans="1:6" x14ac:dyDescent="0.2">
      <c r="A7" s="85"/>
      <c r="B7" s="88">
        <f>100%-B5</f>
        <v>0.89</v>
      </c>
      <c r="C7" s="83">
        <v>0.63</v>
      </c>
      <c r="D7" s="84">
        <v>6</v>
      </c>
      <c r="E7" s="84">
        <v>3</v>
      </c>
      <c r="F7" s="84">
        <v>3</v>
      </c>
    </row>
    <row r="8" spans="1:6" x14ac:dyDescent="0.2">
      <c r="A8" s="89"/>
      <c r="B8" s="86"/>
      <c r="C8" s="87">
        <f>100%-C7</f>
        <v>0.37</v>
      </c>
      <c r="D8" s="84">
        <v>4</v>
      </c>
      <c r="E8" s="84">
        <v>4</v>
      </c>
      <c r="F8" s="84">
        <v>2</v>
      </c>
    </row>
    <row r="9" spans="1:6" x14ac:dyDescent="0.2">
      <c r="A9" s="90">
        <f>100%-A5</f>
        <v>0.25</v>
      </c>
      <c r="B9" s="83">
        <v>0.62</v>
      </c>
      <c r="C9" s="83">
        <v>0.31</v>
      </c>
      <c r="D9" s="84">
        <v>4</v>
      </c>
      <c r="E9" s="84">
        <v>8</v>
      </c>
      <c r="F9" s="84">
        <v>1</v>
      </c>
    </row>
    <row r="10" spans="1:6" x14ac:dyDescent="0.2">
      <c r="A10" s="85"/>
      <c r="B10" s="85"/>
      <c r="C10" s="87">
        <f>100%-C9</f>
        <v>0.69</v>
      </c>
      <c r="D10" s="84">
        <v>4</v>
      </c>
      <c r="E10" s="84">
        <v>6</v>
      </c>
      <c r="F10" s="84">
        <v>7</v>
      </c>
    </row>
    <row r="11" spans="1:6" x14ac:dyDescent="0.2">
      <c r="A11" s="85"/>
      <c r="B11" s="88">
        <f>100%-B9</f>
        <v>0.38</v>
      </c>
      <c r="C11" s="83">
        <v>0.11</v>
      </c>
      <c r="D11" s="84">
        <v>3</v>
      </c>
      <c r="E11" s="84">
        <v>8</v>
      </c>
      <c r="F11" s="84">
        <v>6</v>
      </c>
    </row>
    <row r="12" spans="1:6" x14ac:dyDescent="0.2">
      <c r="A12" s="85"/>
      <c r="B12" s="86"/>
      <c r="C12" s="91">
        <f>100%-C11</f>
        <v>0.89</v>
      </c>
      <c r="D12" s="84">
        <v>5</v>
      </c>
      <c r="E12" s="84">
        <v>4</v>
      </c>
      <c r="F12" s="84">
        <v>3</v>
      </c>
    </row>
    <row r="13" spans="1:6" x14ac:dyDescent="0.2">
      <c r="A13" s="239" t="s">
        <v>60</v>
      </c>
      <c r="B13" s="239"/>
      <c r="C13" s="239"/>
      <c r="D13" s="92">
        <f>SUM(D5:D12)</f>
        <v>35</v>
      </c>
      <c r="E13" s="92">
        <f>SUM(E5:E12)</f>
        <v>45</v>
      </c>
      <c r="F13" s="92">
        <f>SUM(F5:F12)</f>
        <v>28</v>
      </c>
    </row>
    <row r="14" spans="1:6" x14ac:dyDescent="0.2">
      <c r="A14" s="63" t="s">
        <v>133</v>
      </c>
      <c r="B14" s="93"/>
      <c r="C14" s="93"/>
    </row>
    <row r="15" spans="1:6" x14ac:dyDescent="0.2">
      <c r="A15" s="94"/>
      <c r="B15" s="93"/>
      <c r="C15" s="93"/>
    </row>
    <row r="16" spans="1:6" x14ac:dyDescent="0.2">
      <c r="A16" s="94"/>
      <c r="B16" s="93"/>
      <c r="C16" s="81" t="s">
        <v>118</v>
      </c>
      <c r="D16" s="81" t="s">
        <v>115</v>
      </c>
      <c r="E16" s="81" t="s">
        <v>116</v>
      </c>
      <c r="F16" s="81" t="s">
        <v>117</v>
      </c>
    </row>
    <row r="17" spans="1:6" x14ac:dyDescent="0.2">
      <c r="A17" s="94"/>
      <c r="B17" s="93"/>
      <c r="C17" s="54">
        <f>$A$5*$B$5*C5</f>
        <v>4.5375000000000006E-2</v>
      </c>
      <c r="D17" s="95">
        <f>$C$17*D5</f>
        <v>0.22687500000000002</v>
      </c>
      <c r="E17" s="95">
        <f>$C$17*E5</f>
        <v>0.36300000000000004</v>
      </c>
      <c r="F17" s="95">
        <f>$C$17*F5</f>
        <v>9.0750000000000011E-2</v>
      </c>
    </row>
    <row r="18" spans="1:6" x14ac:dyDescent="0.2">
      <c r="A18" s="94"/>
      <c r="B18" s="93"/>
      <c r="C18" s="54">
        <f>$A$5*$B$5*C6</f>
        <v>3.7124999999999998E-2</v>
      </c>
      <c r="D18" s="95">
        <f>$C$18*D6</f>
        <v>0.14849999999999999</v>
      </c>
      <c r="E18" s="95">
        <f>$C$18*E6</f>
        <v>0.14849999999999999</v>
      </c>
      <c r="F18" s="95">
        <f>$C$18*F6</f>
        <v>0.14849999999999999</v>
      </c>
    </row>
    <row r="19" spans="1:6" x14ac:dyDescent="0.2">
      <c r="A19" s="94"/>
      <c r="B19" s="93"/>
      <c r="C19" s="54">
        <f>A5*B7*C7</f>
        <v>0.42052499999999998</v>
      </c>
      <c r="D19" s="95">
        <f>$C$19*D7</f>
        <v>2.5231499999999998</v>
      </c>
      <c r="E19" s="95">
        <f>$C$19*E7</f>
        <v>1.2615749999999999</v>
      </c>
      <c r="F19" s="95">
        <f>$C$19*F7</f>
        <v>1.2615749999999999</v>
      </c>
    </row>
    <row r="20" spans="1:6" x14ac:dyDescent="0.2">
      <c r="A20" s="94"/>
      <c r="B20" s="93"/>
      <c r="C20" s="54">
        <f>A5*B7*C8</f>
        <v>0.246975</v>
      </c>
      <c r="D20" s="95">
        <f>$C$20*D8</f>
        <v>0.9879</v>
      </c>
      <c r="E20" s="95">
        <f>$C$20*E8</f>
        <v>0.9879</v>
      </c>
      <c r="F20" s="95">
        <f>$C$20*F8</f>
        <v>0.49395</v>
      </c>
    </row>
    <row r="21" spans="1:6" x14ac:dyDescent="0.2">
      <c r="A21" s="94"/>
      <c r="B21" s="93"/>
      <c r="C21" s="54">
        <f>A9*B9*C9</f>
        <v>4.8050000000000002E-2</v>
      </c>
      <c r="D21" s="95">
        <f>$C$21*D9</f>
        <v>0.19220000000000001</v>
      </c>
      <c r="E21" s="95">
        <f>$C$21*E9</f>
        <v>0.38440000000000002</v>
      </c>
      <c r="F21" s="95">
        <f>$C$21*F9</f>
        <v>4.8050000000000002E-2</v>
      </c>
    </row>
    <row r="22" spans="1:6" x14ac:dyDescent="0.2">
      <c r="A22" s="94"/>
      <c r="B22" s="93"/>
      <c r="C22" s="54">
        <f>A9*B9*C10</f>
        <v>0.10694999999999999</v>
      </c>
      <c r="D22" s="95">
        <f>$C$22*D10</f>
        <v>0.42779999999999996</v>
      </c>
      <c r="E22" s="95">
        <f>$C$22*E10</f>
        <v>0.64169999999999994</v>
      </c>
      <c r="F22" s="95">
        <f>$C$22*F10</f>
        <v>0.74864999999999993</v>
      </c>
    </row>
    <row r="23" spans="1:6" x14ac:dyDescent="0.2">
      <c r="A23" s="94"/>
      <c r="B23" s="93"/>
      <c r="C23" s="54">
        <f>A9*B11*C11</f>
        <v>1.0450000000000001E-2</v>
      </c>
      <c r="D23" s="95">
        <f>$C$23*D11</f>
        <v>3.1350000000000003E-2</v>
      </c>
      <c r="E23" s="95">
        <f>$C$23*E11</f>
        <v>8.3600000000000008E-2</v>
      </c>
      <c r="F23" s="95">
        <f>$C$23*F11</f>
        <v>6.2700000000000006E-2</v>
      </c>
    </row>
    <row r="24" spans="1:6" x14ac:dyDescent="0.2">
      <c r="A24" s="94"/>
      <c r="B24" s="93"/>
      <c r="C24" s="54">
        <f>A9*B11*C12</f>
        <v>8.455E-2</v>
      </c>
      <c r="D24" s="95">
        <f>$C$24*D12</f>
        <v>0.42275000000000001</v>
      </c>
      <c r="E24" s="95">
        <f>$C$24*E12</f>
        <v>0.3382</v>
      </c>
      <c r="F24" s="95">
        <f>$C$24*F12</f>
        <v>0.25364999999999999</v>
      </c>
    </row>
    <row r="25" spans="1:6" x14ac:dyDescent="0.2">
      <c r="A25" s="94"/>
      <c r="B25" s="93"/>
      <c r="C25" s="96"/>
      <c r="D25" s="97">
        <f>SUM(D17:D24)</f>
        <v>4.9605249999999996</v>
      </c>
      <c r="E25" s="97">
        <f>SUM(E17:E24)</f>
        <v>4.2088749999999999</v>
      </c>
      <c r="F25" s="97">
        <f>SUM(F17:F24)</f>
        <v>3.1078249999999996</v>
      </c>
    </row>
  </sheetData>
  <sheetProtection password="BBA6" sheet="1" objects="1" scenarios="1"/>
  <mergeCells count="2">
    <mergeCell ref="A4:C4"/>
    <mergeCell ref="A13:C13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8" r:id="rId3" name="Button 2">
              <controlPr defaultSize="0" print="0" autoFill="0" autoPict="0">
                <anchor moveWithCells="1" sizeWithCells="1">
                  <from>
                    <xdr:col>0</xdr:col>
                    <xdr:colOff>47625</xdr:colOff>
                    <xdr:row>0</xdr:row>
                    <xdr:rowOff>123825</xdr:rowOff>
                  </from>
                  <to>
                    <xdr:col>1</xdr:col>
                    <xdr:colOff>733425</xdr:colOff>
                    <xdr:row>0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"/>
  <sheetViews>
    <sheetView showGridLines="0" showRowColHeaders="0" workbookViewId="0"/>
  </sheetViews>
  <sheetFormatPr baseColWidth="10" defaultColWidth="11.5703125" defaultRowHeight="12" x14ac:dyDescent="0.2"/>
  <cols>
    <col min="1" max="1" width="7.7109375" style="63" customWidth="1"/>
    <col min="2" max="2" width="18.5703125" style="63" customWidth="1"/>
    <col min="3" max="3" width="15.7109375" style="63" customWidth="1"/>
    <col min="4" max="4" width="16.85546875" style="63" customWidth="1"/>
    <col min="5" max="16384" width="11.5703125" style="63"/>
  </cols>
  <sheetData>
    <row r="1" spans="1:5" ht="52.15" customHeight="1" x14ac:dyDescent="0.2">
      <c r="A1" s="61"/>
      <c r="B1" s="62"/>
    </row>
    <row r="2" spans="1:5" s="45" customFormat="1" ht="18.600000000000001" customHeight="1" x14ac:dyDescent="0.2">
      <c r="A2" s="34" t="s">
        <v>119</v>
      </c>
      <c r="B2" s="34"/>
      <c r="C2" s="34"/>
      <c r="D2" s="34"/>
      <c r="E2" s="34"/>
    </row>
    <row r="4" spans="1:5" s="101" customFormat="1" x14ac:dyDescent="0.2">
      <c r="A4" s="98" t="s">
        <v>120</v>
      </c>
      <c r="B4" s="99" t="s">
        <v>121</v>
      </c>
      <c r="C4" s="99" t="s">
        <v>122</v>
      </c>
      <c r="D4" s="100" t="s">
        <v>123</v>
      </c>
    </row>
    <row r="5" spans="1:5" s="101" customFormat="1" x14ac:dyDescent="0.2">
      <c r="A5" s="102"/>
      <c r="B5" s="103" t="s">
        <v>124</v>
      </c>
      <c r="C5" s="103" t="s">
        <v>125</v>
      </c>
      <c r="D5" s="104"/>
    </row>
    <row r="6" spans="1:5" x14ac:dyDescent="0.2">
      <c r="A6" s="105" t="s">
        <v>126</v>
      </c>
      <c r="B6" s="106">
        <v>8</v>
      </c>
      <c r="C6" s="106">
        <v>16</v>
      </c>
      <c r="D6" s="107">
        <v>110000</v>
      </c>
    </row>
    <row r="7" spans="1:5" x14ac:dyDescent="0.2">
      <c r="A7" s="108" t="s">
        <v>127</v>
      </c>
      <c r="B7" s="109">
        <v>6</v>
      </c>
      <c r="C7" s="109">
        <v>10</v>
      </c>
      <c r="D7" s="110">
        <v>56000</v>
      </c>
    </row>
    <row r="8" spans="1:5" x14ac:dyDescent="0.2">
      <c r="A8" s="108" t="s">
        <v>128</v>
      </c>
      <c r="B8" s="109">
        <v>3.5</v>
      </c>
      <c r="C8" s="109">
        <v>13</v>
      </c>
      <c r="D8" s="110">
        <v>280000</v>
      </c>
    </row>
    <row r="9" spans="1:5" x14ac:dyDescent="0.2">
      <c r="A9" s="108" t="s">
        <v>129</v>
      </c>
      <c r="B9" s="109">
        <v>3</v>
      </c>
      <c r="C9" s="109">
        <v>7</v>
      </c>
      <c r="D9" s="110">
        <v>170000</v>
      </c>
    </row>
    <row r="10" spans="1:5" x14ac:dyDescent="0.2">
      <c r="A10" s="108" t="s">
        <v>130</v>
      </c>
      <c r="B10" s="109">
        <v>2</v>
      </c>
      <c r="C10" s="109">
        <v>3</v>
      </c>
      <c r="D10" s="110">
        <v>120000</v>
      </c>
    </row>
    <row r="11" spans="1:5" x14ac:dyDescent="0.2">
      <c r="A11" s="108" t="s">
        <v>131</v>
      </c>
      <c r="B11" s="109">
        <v>7</v>
      </c>
      <c r="C11" s="109">
        <v>7</v>
      </c>
      <c r="D11" s="110">
        <v>43000</v>
      </c>
    </row>
    <row r="12" spans="1:5" x14ac:dyDescent="0.2">
      <c r="A12" s="108" t="s">
        <v>132</v>
      </c>
      <c r="B12" s="109">
        <v>6</v>
      </c>
      <c r="C12" s="109">
        <v>15</v>
      </c>
      <c r="D12" s="110">
        <v>100000</v>
      </c>
    </row>
    <row r="14" spans="1:5" x14ac:dyDescent="0.2">
      <c r="A14" s="63" t="s">
        <v>133</v>
      </c>
    </row>
  </sheetData>
  <sheetProtection password="BBA6"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2" r:id="rId3" name="Button 2">
              <controlPr defaultSize="0" print="0" autoFill="0" autoPict="0">
                <anchor moveWithCells="1" sizeWithCells="1">
                  <from>
                    <xdr:col>0</xdr:col>
                    <xdr:colOff>47625</xdr:colOff>
                    <xdr:row>0</xdr:row>
                    <xdr:rowOff>123825</xdr:rowOff>
                  </from>
                  <to>
                    <xdr:col>1</xdr:col>
                    <xdr:colOff>990600</xdr:colOff>
                    <xdr:row>0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E38"/>
  <sheetViews>
    <sheetView showGridLines="0" showRowColHeaders="0" workbookViewId="0"/>
  </sheetViews>
  <sheetFormatPr baseColWidth="10" defaultRowHeight="12.75" x14ac:dyDescent="0.2"/>
  <cols>
    <col min="1" max="1" width="23.28515625" customWidth="1"/>
    <col min="2" max="5" width="16.7109375" customWidth="1"/>
  </cols>
  <sheetData>
    <row r="1" spans="1:5" ht="52.15" customHeight="1" x14ac:dyDescent="0.2">
      <c r="A1" s="16"/>
      <c r="B1" s="1"/>
    </row>
    <row r="2" spans="1:5" s="17" customFormat="1" ht="18.600000000000001" customHeight="1" x14ac:dyDescent="0.2">
      <c r="A2" s="34" t="s">
        <v>68</v>
      </c>
      <c r="B2" s="34"/>
      <c r="C2" s="34"/>
      <c r="D2" s="34"/>
      <c r="E2" s="34"/>
    </row>
    <row r="3" spans="1:5" x14ac:dyDescent="0.2">
      <c r="A3" s="16"/>
      <c r="B3" s="1"/>
    </row>
    <row r="4" spans="1:5" x14ac:dyDescent="0.2">
      <c r="A4" t="s">
        <v>73</v>
      </c>
      <c r="B4" s="35">
        <v>8</v>
      </c>
      <c r="C4" t="s">
        <v>16</v>
      </c>
    </row>
    <row r="6" spans="1:5" s="19" customFormat="1" x14ac:dyDescent="0.2">
      <c r="A6" s="23"/>
      <c r="B6" s="18" t="s">
        <v>74</v>
      </c>
      <c r="C6" s="23" t="s">
        <v>75</v>
      </c>
      <c r="D6" s="24" t="s">
        <v>76</v>
      </c>
      <c r="E6" s="23" t="s">
        <v>77</v>
      </c>
    </row>
    <row r="7" spans="1:5" x14ac:dyDescent="0.2">
      <c r="A7" s="9" t="s">
        <v>69</v>
      </c>
      <c r="B7" s="25">
        <v>50000</v>
      </c>
      <c r="C7" s="26">
        <v>80000</v>
      </c>
      <c r="D7" s="2">
        <v>0</v>
      </c>
      <c r="E7" s="27">
        <v>0</v>
      </c>
    </row>
    <row r="8" spans="1:5" x14ac:dyDescent="0.2">
      <c r="A8" s="9" t="s">
        <v>70</v>
      </c>
      <c r="B8" s="25">
        <v>5000</v>
      </c>
      <c r="C8" s="26">
        <v>8000</v>
      </c>
      <c r="D8" s="2">
        <v>0</v>
      </c>
      <c r="E8" s="26">
        <v>0</v>
      </c>
    </row>
    <row r="9" spans="1:5" x14ac:dyDescent="0.2">
      <c r="A9" s="9" t="s">
        <v>71</v>
      </c>
      <c r="B9" s="25">
        <v>4</v>
      </c>
      <c r="C9" s="26">
        <v>5</v>
      </c>
      <c r="D9" s="2">
        <v>0</v>
      </c>
      <c r="E9" s="26">
        <v>0</v>
      </c>
    </row>
    <row r="10" spans="1:5" x14ac:dyDescent="0.2">
      <c r="A10" s="9" t="s">
        <v>72</v>
      </c>
      <c r="B10" s="25">
        <v>1.3</v>
      </c>
      <c r="C10" s="26">
        <v>1.1000000000000001</v>
      </c>
      <c r="D10" s="2">
        <v>0</v>
      </c>
      <c r="E10" s="26">
        <v>0</v>
      </c>
    </row>
    <row r="11" spans="1:5" x14ac:dyDescent="0.2">
      <c r="A11" s="15" t="s">
        <v>78</v>
      </c>
      <c r="B11" s="21">
        <f>((B7-B8)/B9)+((B7+B8)/2)*($B$4/100)</f>
        <v>13450</v>
      </c>
      <c r="C11" s="21">
        <f>((C7-C8)/C9)+((C7+C8)/2)*($B$4/100)</f>
        <v>17920</v>
      </c>
      <c r="D11" s="21" t="e">
        <f>((D7-D8)/D9)+((D7+D8)/2)*($B$4/100)</f>
        <v>#DIV/0!</v>
      </c>
      <c r="E11" s="22" t="e">
        <f>((E7-E8)/E9)+((E7+E8)/2)*($B$4/100)</f>
        <v>#DIV/0!</v>
      </c>
    </row>
    <row r="14" spans="1:5" x14ac:dyDescent="0.2">
      <c r="E14" t="s">
        <v>52</v>
      </c>
    </row>
    <row r="16" spans="1:5" x14ac:dyDescent="0.2">
      <c r="A16" s="23" t="s">
        <v>83</v>
      </c>
      <c r="B16" s="23" t="s">
        <v>79</v>
      </c>
      <c r="C16" s="24" t="s">
        <v>80</v>
      </c>
      <c r="D16" s="23" t="s">
        <v>81</v>
      </c>
      <c r="E16" s="28" t="s">
        <v>82</v>
      </c>
    </row>
    <row r="17" spans="1:5" x14ac:dyDescent="0.2">
      <c r="A17" s="11">
        <v>0</v>
      </c>
      <c r="B17" s="7">
        <f>(B$10*A17)+B$11</f>
        <v>13450</v>
      </c>
      <c r="C17" s="29">
        <f>(C$10*$A17)+C$11</f>
        <v>17920</v>
      </c>
      <c r="D17" s="7" t="e">
        <f>(D$10*$A17)+D$11</f>
        <v>#DIV/0!</v>
      </c>
      <c r="E17" s="7" t="e">
        <f>(E$10*$A17)+E$11</f>
        <v>#DIV/0!</v>
      </c>
    </row>
    <row r="18" spans="1:5" x14ac:dyDescent="0.2">
      <c r="A18" s="11">
        <v>100</v>
      </c>
      <c r="B18" s="10">
        <f t="shared" ref="B18:B38" si="0">(B$10*A18)+B$11</f>
        <v>13580</v>
      </c>
      <c r="C18" s="29">
        <f t="shared" ref="C18:E38" si="1">(C$10*$A18)+C$11</f>
        <v>18030</v>
      </c>
      <c r="D18" s="10" t="e">
        <f t="shared" si="1"/>
        <v>#DIV/0!</v>
      </c>
      <c r="E18" s="10" t="e">
        <f t="shared" si="1"/>
        <v>#DIV/0!</v>
      </c>
    </row>
    <row r="19" spans="1:5" x14ac:dyDescent="0.2">
      <c r="A19" s="11">
        <v>200</v>
      </c>
      <c r="B19" s="10">
        <f t="shared" si="0"/>
        <v>13710</v>
      </c>
      <c r="C19" s="29">
        <f t="shared" si="1"/>
        <v>18140</v>
      </c>
      <c r="D19" s="10" t="e">
        <f t="shared" si="1"/>
        <v>#DIV/0!</v>
      </c>
      <c r="E19" s="10" t="e">
        <f t="shared" si="1"/>
        <v>#DIV/0!</v>
      </c>
    </row>
    <row r="20" spans="1:5" x14ac:dyDescent="0.2">
      <c r="A20" s="11">
        <v>400</v>
      </c>
      <c r="B20" s="10">
        <f t="shared" si="0"/>
        <v>13970</v>
      </c>
      <c r="C20" s="29">
        <f t="shared" si="1"/>
        <v>18360</v>
      </c>
      <c r="D20" s="10" t="e">
        <f t="shared" si="1"/>
        <v>#DIV/0!</v>
      </c>
      <c r="E20" s="10" t="e">
        <f t="shared" si="1"/>
        <v>#DIV/0!</v>
      </c>
    </row>
    <row r="21" spans="1:5" x14ac:dyDescent="0.2">
      <c r="A21" s="11">
        <v>500</v>
      </c>
      <c r="B21" s="10">
        <f t="shared" si="0"/>
        <v>14100</v>
      </c>
      <c r="C21" s="29">
        <f t="shared" si="1"/>
        <v>18470</v>
      </c>
      <c r="D21" s="10" t="e">
        <f t="shared" si="1"/>
        <v>#DIV/0!</v>
      </c>
      <c r="E21" s="10" t="e">
        <f t="shared" si="1"/>
        <v>#DIV/0!</v>
      </c>
    </row>
    <row r="22" spans="1:5" x14ac:dyDescent="0.2">
      <c r="A22" s="11">
        <v>600</v>
      </c>
      <c r="B22" s="10">
        <f t="shared" si="0"/>
        <v>14230</v>
      </c>
      <c r="C22" s="29">
        <f t="shared" si="1"/>
        <v>18580</v>
      </c>
      <c r="D22" s="10" t="e">
        <f t="shared" si="1"/>
        <v>#DIV/0!</v>
      </c>
      <c r="E22" s="10" t="e">
        <f t="shared" si="1"/>
        <v>#DIV/0!</v>
      </c>
    </row>
    <row r="23" spans="1:5" x14ac:dyDescent="0.2">
      <c r="A23" s="11">
        <v>700</v>
      </c>
      <c r="B23" s="10">
        <f t="shared" si="0"/>
        <v>14360</v>
      </c>
      <c r="C23" s="29">
        <f t="shared" si="1"/>
        <v>18690</v>
      </c>
      <c r="D23" s="10" t="e">
        <f t="shared" si="1"/>
        <v>#DIV/0!</v>
      </c>
      <c r="E23" s="10" t="e">
        <f t="shared" si="1"/>
        <v>#DIV/0!</v>
      </c>
    </row>
    <row r="24" spans="1:5" x14ac:dyDescent="0.2">
      <c r="A24" s="11">
        <v>800</v>
      </c>
      <c r="B24" s="10">
        <f t="shared" si="0"/>
        <v>14490</v>
      </c>
      <c r="C24" s="29">
        <f t="shared" si="1"/>
        <v>18800</v>
      </c>
      <c r="D24" s="10" t="e">
        <f t="shared" si="1"/>
        <v>#DIV/0!</v>
      </c>
      <c r="E24" s="10" t="e">
        <f t="shared" si="1"/>
        <v>#DIV/0!</v>
      </c>
    </row>
    <row r="25" spans="1:5" x14ac:dyDescent="0.2">
      <c r="A25" s="11">
        <v>900</v>
      </c>
      <c r="B25" s="10">
        <f t="shared" si="0"/>
        <v>14620</v>
      </c>
      <c r="C25" s="29">
        <f t="shared" si="1"/>
        <v>18910</v>
      </c>
      <c r="D25" s="10" t="e">
        <f t="shared" si="1"/>
        <v>#DIV/0!</v>
      </c>
      <c r="E25" s="10" t="e">
        <f t="shared" si="1"/>
        <v>#DIV/0!</v>
      </c>
    </row>
    <row r="26" spans="1:5" x14ac:dyDescent="0.2">
      <c r="A26" s="11">
        <v>1000</v>
      </c>
      <c r="B26" s="10">
        <f t="shared" si="0"/>
        <v>14750</v>
      </c>
      <c r="C26" s="29">
        <f t="shared" si="1"/>
        <v>19020</v>
      </c>
      <c r="D26" s="10" t="e">
        <f t="shared" si="1"/>
        <v>#DIV/0!</v>
      </c>
      <c r="E26" s="10" t="e">
        <f t="shared" si="1"/>
        <v>#DIV/0!</v>
      </c>
    </row>
    <row r="27" spans="1:5" x14ac:dyDescent="0.2">
      <c r="A27" s="11">
        <v>1500</v>
      </c>
      <c r="B27" s="10">
        <f t="shared" si="0"/>
        <v>15400</v>
      </c>
      <c r="C27" s="29">
        <f t="shared" si="1"/>
        <v>19570</v>
      </c>
      <c r="D27" s="10" t="e">
        <f t="shared" si="1"/>
        <v>#DIV/0!</v>
      </c>
      <c r="E27" s="10" t="e">
        <f t="shared" si="1"/>
        <v>#DIV/0!</v>
      </c>
    </row>
    <row r="28" spans="1:5" x14ac:dyDescent="0.2">
      <c r="A28" s="11">
        <v>2000</v>
      </c>
      <c r="B28" s="10">
        <f t="shared" si="0"/>
        <v>16050</v>
      </c>
      <c r="C28" s="29">
        <f t="shared" si="1"/>
        <v>20120</v>
      </c>
      <c r="D28" s="10" t="e">
        <f t="shared" si="1"/>
        <v>#DIV/0!</v>
      </c>
      <c r="E28" s="10" t="e">
        <f t="shared" si="1"/>
        <v>#DIV/0!</v>
      </c>
    </row>
    <row r="29" spans="1:5" x14ac:dyDescent="0.2">
      <c r="A29" s="11">
        <v>2500</v>
      </c>
      <c r="B29" s="10">
        <f t="shared" si="0"/>
        <v>16700</v>
      </c>
      <c r="C29" s="29">
        <f t="shared" si="1"/>
        <v>20670</v>
      </c>
      <c r="D29" s="10" t="e">
        <f t="shared" si="1"/>
        <v>#DIV/0!</v>
      </c>
      <c r="E29" s="10" t="e">
        <f t="shared" si="1"/>
        <v>#DIV/0!</v>
      </c>
    </row>
    <row r="30" spans="1:5" x14ac:dyDescent="0.2">
      <c r="A30" s="11">
        <v>3000</v>
      </c>
      <c r="B30" s="10">
        <f t="shared" si="0"/>
        <v>17350</v>
      </c>
      <c r="C30" s="29">
        <f t="shared" si="1"/>
        <v>21220</v>
      </c>
      <c r="D30" s="10" t="e">
        <f t="shared" si="1"/>
        <v>#DIV/0!</v>
      </c>
      <c r="E30" s="10" t="e">
        <f t="shared" si="1"/>
        <v>#DIV/0!</v>
      </c>
    </row>
    <row r="31" spans="1:5" x14ac:dyDescent="0.2">
      <c r="A31" s="11">
        <v>3500</v>
      </c>
      <c r="B31" s="10">
        <f t="shared" si="0"/>
        <v>18000</v>
      </c>
      <c r="C31" s="29">
        <f t="shared" si="1"/>
        <v>21770</v>
      </c>
      <c r="D31" s="10" t="e">
        <f t="shared" si="1"/>
        <v>#DIV/0!</v>
      </c>
      <c r="E31" s="10" t="e">
        <f t="shared" si="1"/>
        <v>#DIV/0!</v>
      </c>
    </row>
    <row r="32" spans="1:5" x14ac:dyDescent="0.2">
      <c r="A32" s="11">
        <v>4000</v>
      </c>
      <c r="B32" s="10">
        <f t="shared" si="0"/>
        <v>18650</v>
      </c>
      <c r="C32" s="29">
        <f t="shared" si="1"/>
        <v>22320</v>
      </c>
      <c r="D32" s="10" t="e">
        <f t="shared" si="1"/>
        <v>#DIV/0!</v>
      </c>
      <c r="E32" s="10" t="e">
        <f t="shared" si="1"/>
        <v>#DIV/0!</v>
      </c>
    </row>
    <row r="33" spans="1:5" x14ac:dyDescent="0.2">
      <c r="A33" s="11">
        <v>4500</v>
      </c>
      <c r="B33" s="10">
        <f t="shared" si="0"/>
        <v>19300</v>
      </c>
      <c r="C33" s="29">
        <f t="shared" si="1"/>
        <v>22870</v>
      </c>
      <c r="D33" s="10" t="e">
        <f t="shared" si="1"/>
        <v>#DIV/0!</v>
      </c>
      <c r="E33" s="10" t="e">
        <f t="shared" si="1"/>
        <v>#DIV/0!</v>
      </c>
    </row>
    <row r="34" spans="1:5" x14ac:dyDescent="0.2">
      <c r="A34" s="11">
        <v>5000</v>
      </c>
      <c r="B34" s="14">
        <f t="shared" si="0"/>
        <v>19950</v>
      </c>
      <c r="C34" s="29">
        <f t="shared" si="1"/>
        <v>23420</v>
      </c>
      <c r="D34" s="14" t="e">
        <f t="shared" si="1"/>
        <v>#DIV/0!</v>
      </c>
      <c r="E34" s="14" t="e">
        <f t="shared" si="1"/>
        <v>#DIV/0!</v>
      </c>
    </row>
    <row r="35" spans="1:5" x14ac:dyDescent="0.2">
      <c r="A35" s="30">
        <v>2560</v>
      </c>
      <c r="B35" s="31">
        <f t="shared" si="0"/>
        <v>16778</v>
      </c>
      <c r="C35" s="31">
        <f t="shared" si="1"/>
        <v>20736</v>
      </c>
      <c r="D35" s="31" t="e">
        <f t="shared" si="1"/>
        <v>#DIV/0!</v>
      </c>
      <c r="E35" s="31" t="e">
        <f t="shared" si="1"/>
        <v>#DIV/0!</v>
      </c>
    </row>
    <row r="36" spans="1:5" x14ac:dyDescent="0.2">
      <c r="A36" s="30">
        <v>22350</v>
      </c>
      <c r="B36" s="31">
        <f t="shared" si="0"/>
        <v>42505</v>
      </c>
      <c r="C36" s="31">
        <f t="shared" si="1"/>
        <v>42505</v>
      </c>
      <c r="D36" s="31" t="e">
        <f t="shared" si="1"/>
        <v>#DIV/0!</v>
      </c>
      <c r="E36" s="31" t="e">
        <f t="shared" si="1"/>
        <v>#DIV/0!</v>
      </c>
    </row>
    <row r="37" spans="1:5" x14ac:dyDescent="0.2">
      <c r="A37" s="30">
        <v>100000</v>
      </c>
      <c r="B37" s="31">
        <f t="shared" si="0"/>
        <v>143450</v>
      </c>
      <c r="C37" s="31">
        <f t="shared" si="1"/>
        <v>127920.00000000001</v>
      </c>
      <c r="D37" s="31" t="e">
        <f t="shared" si="1"/>
        <v>#DIV/0!</v>
      </c>
      <c r="E37" s="31" t="e">
        <f t="shared" si="1"/>
        <v>#DIV/0!</v>
      </c>
    </row>
    <row r="38" spans="1:5" x14ac:dyDescent="0.2">
      <c r="A38" s="30">
        <v>120000</v>
      </c>
      <c r="B38" s="31">
        <f t="shared" si="0"/>
        <v>169450</v>
      </c>
      <c r="C38" s="31">
        <f t="shared" si="1"/>
        <v>149920</v>
      </c>
      <c r="D38" s="31" t="e">
        <f t="shared" si="1"/>
        <v>#DIV/0!</v>
      </c>
      <c r="E38" s="31" t="e">
        <f t="shared" si="1"/>
        <v>#DIV/0!</v>
      </c>
    </row>
  </sheetData>
  <sheetProtection password="BBA6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Button 3">
              <controlPr defaultSize="0" print="0" autoFill="0" autoPict="0">
                <anchor moveWithCells="1" sizeWithCells="1">
                  <from>
                    <xdr:col>0</xdr:col>
                    <xdr:colOff>47625</xdr:colOff>
                    <xdr:row>0</xdr:row>
                    <xdr:rowOff>123825</xdr:rowOff>
                  </from>
                  <to>
                    <xdr:col>0</xdr:col>
                    <xdr:colOff>1514475</xdr:colOff>
                    <xdr:row>0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E39"/>
  <sheetViews>
    <sheetView showGridLines="0" showRowColHeaders="0" zoomScaleNormal="100" workbookViewId="0"/>
  </sheetViews>
  <sheetFormatPr baseColWidth="10" defaultRowHeight="12.75" x14ac:dyDescent="0.2"/>
  <cols>
    <col min="1" max="1" width="23.28515625" customWidth="1"/>
    <col min="2" max="5" width="16.7109375" customWidth="1"/>
  </cols>
  <sheetData>
    <row r="1" spans="1:5" ht="52.15" customHeight="1" x14ac:dyDescent="0.2">
      <c r="A1" s="16"/>
      <c r="B1" s="1"/>
    </row>
    <row r="2" spans="1:5" s="17" customFormat="1" ht="18.600000000000001" customHeight="1" x14ac:dyDescent="0.2">
      <c r="A2" s="34" t="s">
        <v>85</v>
      </c>
      <c r="B2" s="34"/>
      <c r="C2" s="34"/>
      <c r="D2" s="34"/>
      <c r="E2" s="34"/>
    </row>
    <row r="3" spans="1:5" x14ac:dyDescent="0.2">
      <c r="A3" s="16"/>
      <c r="B3" s="1"/>
    </row>
    <row r="4" spans="1:5" x14ac:dyDescent="0.2">
      <c r="A4" t="s">
        <v>73</v>
      </c>
      <c r="B4" s="35">
        <v>0</v>
      </c>
      <c r="C4" t="s">
        <v>16</v>
      </c>
    </row>
    <row r="6" spans="1:5" s="19" customFormat="1" x14ac:dyDescent="0.2">
      <c r="A6" s="23"/>
      <c r="B6" s="18" t="s">
        <v>74</v>
      </c>
      <c r="C6" s="23" t="s">
        <v>75</v>
      </c>
      <c r="D6" s="24" t="s">
        <v>76</v>
      </c>
      <c r="E6" s="23" t="s">
        <v>77</v>
      </c>
    </row>
    <row r="7" spans="1:5" x14ac:dyDescent="0.2">
      <c r="A7" s="3" t="s">
        <v>69</v>
      </c>
      <c r="B7" s="27">
        <v>21000</v>
      </c>
      <c r="C7" s="2">
        <v>23000</v>
      </c>
      <c r="D7" s="27">
        <v>27000</v>
      </c>
      <c r="E7" s="27">
        <v>0</v>
      </c>
    </row>
    <row r="8" spans="1:5" x14ac:dyDescent="0.2">
      <c r="A8" s="3" t="s">
        <v>70</v>
      </c>
      <c r="B8" s="26">
        <v>0</v>
      </c>
      <c r="C8" s="2">
        <v>0</v>
      </c>
      <c r="D8" s="26">
        <v>0</v>
      </c>
      <c r="E8" s="26">
        <v>0</v>
      </c>
    </row>
    <row r="9" spans="1:5" x14ac:dyDescent="0.2">
      <c r="A9" s="3" t="s">
        <v>71</v>
      </c>
      <c r="B9" s="26">
        <v>1</v>
      </c>
      <c r="C9" s="2">
        <v>1</v>
      </c>
      <c r="D9" s="26">
        <v>1</v>
      </c>
      <c r="E9" s="26">
        <v>1</v>
      </c>
    </row>
    <row r="10" spans="1:5" x14ac:dyDescent="0.2">
      <c r="A10" s="3" t="s">
        <v>72</v>
      </c>
      <c r="B10" s="26">
        <v>8</v>
      </c>
      <c r="C10" s="2">
        <v>6</v>
      </c>
      <c r="D10" s="26">
        <v>7</v>
      </c>
      <c r="E10" s="26">
        <v>12.5</v>
      </c>
    </row>
    <row r="11" spans="1:5" x14ac:dyDescent="0.2">
      <c r="A11" t="s">
        <v>86</v>
      </c>
      <c r="B11" s="26">
        <v>36</v>
      </c>
      <c r="C11" s="26">
        <v>36</v>
      </c>
      <c r="D11" s="26">
        <v>36</v>
      </c>
      <c r="E11" s="26">
        <v>36</v>
      </c>
    </row>
    <row r="12" spans="1:5" x14ac:dyDescent="0.2">
      <c r="A12" s="4" t="s">
        <v>78</v>
      </c>
      <c r="B12" s="22">
        <f>((B7-B8)/B9)+((B7+B8)/2)*($B$4/100)</f>
        <v>21000</v>
      </c>
      <c r="C12" s="36">
        <f>((C7-C8)/C9)+((C7+C8)/2)*($B$4/100)</f>
        <v>23000</v>
      </c>
      <c r="D12" s="22">
        <f>((D7-D8)/D9)+((D7+D8)/2)*($B$4/100)</f>
        <v>27000</v>
      </c>
      <c r="E12" s="22">
        <f>((E7-E8)/E9)+((E7+E8)/2)*($B$4/100)</f>
        <v>0</v>
      </c>
    </row>
    <row r="15" spans="1:5" x14ac:dyDescent="0.2">
      <c r="E15" t="s">
        <v>52</v>
      </c>
    </row>
    <row r="17" spans="1:5" x14ac:dyDescent="0.2">
      <c r="A17" s="23" t="s">
        <v>91</v>
      </c>
      <c r="B17" s="23" t="s">
        <v>87</v>
      </c>
      <c r="C17" s="23" t="s">
        <v>88</v>
      </c>
      <c r="D17" s="23" t="s">
        <v>89</v>
      </c>
      <c r="E17" s="23" t="s">
        <v>90</v>
      </c>
    </row>
    <row r="18" spans="1:5" x14ac:dyDescent="0.2">
      <c r="A18" s="11">
        <v>0</v>
      </c>
      <c r="B18" s="7">
        <f>(B$11*$A18)-((B$10*$A18)+B$12)</f>
        <v>-21000</v>
      </c>
      <c r="C18" s="7">
        <f>(C$11*$A18)-((C$10*$A18)+C$12)</f>
        <v>-23000</v>
      </c>
      <c r="D18" s="7">
        <f>(D$11*$A18)-((D$10*$A18)+D$12)</f>
        <v>-27000</v>
      </c>
      <c r="E18" s="7">
        <f>(E$11*$A18)-((E$10*$A18)+E$12)</f>
        <v>0</v>
      </c>
    </row>
    <row r="19" spans="1:5" x14ac:dyDescent="0.2">
      <c r="A19" s="11">
        <v>100</v>
      </c>
      <c r="B19" s="10">
        <f t="shared" ref="B19:E39" si="0">(B$11*$A19)-((B$10*$A19)+B$12)</f>
        <v>-18200</v>
      </c>
      <c r="C19" s="10">
        <f t="shared" si="0"/>
        <v>-20000</v>
      </c>
      <c r="D19" s="10">
        <f t="shared" si="0"/>
        <v>-24100</v>
      </c>
      <c r="E19" s="10">
        <f t="shared" si="0"/>
        <v>2350</v>
      </c>
    </row>
    <row r="20" spans="1:5" x14ac:dyDescent="0.2">
      <c r="A20" s="11">
        <v>200</v>
      </c>
      <c r="B20" s="10">
        <f t="shared" si="0"/>
        <v>-15400</v>
      </c>
      <c r="C20" s="10">
        <f t="shared" si="0"/>
        <v>-17000</v>
      </c>
      <c r="D20" s="10">
        <f t="shared" si="0"/>
        <v>-21200</v>
      </c>
      <c r="E20" s="10">
        <f t="shared" si="0"/>
        <v>4700</v>
      </c>
    </row>
    <row r="21" spans="1:5" x14ac:dyDescent="0.2">
      <c r="A21" s="11">
        <v>400</v>
      </c>
      <c r="B21" s="10">
        <f t="shared" si="0"/>
        <v>-9800</v>
      </c>
      <c r="C21" s="10">
        <f t="shared" si="0"/>
        <v>-11000</v>
      </c>
      <c r="D21" s="10">
        <f t="shared" si="0"/>
        <v>-15400</v>
      </c>
      <c r="E21" s="10">
        <f t="shared" si="0"/>
        <v>9400</v>
      </c>
    </row>
    <row r="22" spans="1:5" x14ac:dyDescent="0.2">
      <c r="A22" s="11">
        <v>500</v>
      </c>
      <c r="B22" s="10">
        <f t="shared" si="0"/>
        <v>-7000</v>
      </c>
      <c r="C22" s="10">
        <f t="shared" si="0"/>
        <v>-8000</v>
      </c>
      <c r="D22" s="10">
        <f t="shared" si="0"/>
        <v>-12500</v>
      </c>
      <c r="E22" s="10">
        <f t="shared" si="0"/>
        <v>11750</v>
      </c>
    </row>
    <row r="23" spans="1:5" x14ac:dyDescent="0.2">
      <c r="A23" s="11">
        <v>600</v>
      </c>
      <c r="B23" s="10">
        <f t="shared" si="0"/>
        <v>-4200</v>
      </c>
      <c r="C23" s="10">
        <f t="shared" si="0"/>
        <v>-5000</v>
      </c>
      <c r="D23" s="10">
        <f t="shared" si="0"/>
        <v>-9600</v>
      </c>
      <c r="E23" s="10">
        <f t="shared" si="0"/>
        <v>14100</v>
      </c>
    </row>
    <row r="24" spans="1:5" x14ac:dyDescent="0.2">
      <c r="A24" s="11">
        <v>700</v>
      </c>
      <c r="B24" s="10">
        <f t="shared" si="0"/>
        <v>-1400</v>
      </c>
      <c r="C24" s="10">
        <f t="shared" si="0"/>
        <v>-2000</v>
      </c>
      <c r="D24" s="10">
        <f t="shared" si="0"/>
        <v>-6700</v>
      </c>
      <c r="E24" s="10">
        <f t="shared" si="0"/>
        <v>16450</v>
      </c>
    </row>
    <row r="25" spans="1:5" x14ac:dyDescent="0.2">
      <c r="A25" s="11">
        <v>800</v>
      </c>
      <c r="B25" s="10">
        <f t="shared" si="0"/>
        <v>1400</v>
      </c>
      <c r="C25" s="10">
        <f t="shared" si="0"/>
        <v>1000</v>
      </c>
      <c r="D25" s="10">
        <f t="shared" si="0"/>
        <v>-3800</v>
      </c>
      <c r="E25" s="10">
        <f t="shared" si="0"/>
        <v>18800</v>
      </c>
    </row>
    <row r="26" spans="1:5" x14ac:dyDescent="0.2">
      <c r="A26" s="11">
        <v>900</v>
      </c>
      <c r="B26" s="10">
        <f t="shared" si="0"/>
        <v>4200</v>
      </c>
      <c r="C26" s="10">
        <f t="shared" si="0"/>
        <v>4000</v>
      </c>
      <c r="D26" s="10">
        <f t="shared" si="0"/>
        <v>-900</v>
      </c>
      <c r="E26" s="10">
        <f t="shared" si="0"/>
        <v>21150</v>
      </c>
    </row>
    <row r="27" spans="1:5" x14ac:dyDescent="0.2">
      <c r="A27" s="11">
        <v>1000</v>
      </c>
      <c r="B27" s="10">
        <f t="shared" si="0"/>
        <v>7000</v>
      </c>
      <c r="C27" s="10">
        <f t="shared" si="0"/>
        <v>7000</v>
      </c>
      <c r="D27" s="10">
        <f t="shared" si="0"/>
        <v>2000</v>
      </c>
      <c r="E27" s="10">
        <f t="shared" si="0"/>
        <v>23500</v>
      </c>
    </row>
    <row r="28" spans="1:5" x14ac:dyDescent="0.2">
      <c r="A28" s="11">
        <v>1500</v>
      </c>
      <c r="B28" s="10">
        <f t="shared" si="0"/>
        <v>21000</v>
      </c>
      <c r="C28" s="10">
        <f t="shared" si="0"/>
        <v>22000</v>
      </c>
      <c r="D28" s="10">
        <f t="shared" si="0"/>
        <v>16500</v>
      </c>
      <c r="E28" s="10">
        <f t="shared" si="0"/>
        <v>35250</v>
      </c>
    </row>
    <row r="29" spans="1:5" x14ac:dyDescent="0.2">
      <c r="A29" s="11">
        <v>2000</v>
      </c>
      <c r="B29" s="10">
        <f t="shared" si="0"/>
        <v>35000</v>
      </c>
      <c r="C29" s="10">
        <f t="shared" si="0"/>
        <v>37000</v>
      </c>
      <c r="D29" s="10">
        <f t="shared" si="0"/>
        <v>31000</v>
      </c>
      <c r="E29" s="10">
        <f t="shared" si="0"/>
        <v>47000</v>
      </c>
    </row>
    <row r="30" spans="1:5" x14ac:dyDescent="0.2">
      <c r="A30" s="11">
        <v>2500</v>
      </c>
      <c r="B30" s="10">
        <f t="shared" si="0"/>
        <v>49000</v>
      </c>
      <c r="C30" s="10">
        <f t="shared" si="0"/>
        <v>52000</v>
      </c>
      <c r="D30" s="10">
        <f t="shared" si="0"/>
        <v>45500</v>
      </c>
      <c r="E30" s="10">
        <f t="shared" si="0"/>
        <v>58750</v>
      </c>
    </row>
    <row r="31" spans="1:5" x14ac:dyDescent="0.2">
      <c r="A31" s="11">
        <v>3000</v>
      </c>
      <c r="B31" s="10">
        <f t="shared" si="0"/>
        <v>63000</v>
      </c>
      <c r="C31" s="10">
        <f t="shared" si="0"/>
        <v>67000</v>
      </c>
      <c r="D31" s="10">
        <f t="shared" si="0"/>
        <v>60000</v>
      </c>
      <c r="E31" s="10">
        <f t="shared" si="0"/>
        <v>70500</v>
      </c>
    </row>
    <row r="32" spans="1:5" x14ac:dyDescent="0.2">
      <c r="A32" s="11">
        <v>3500</v>
      </c>
      <c r="B32" s="10">
        <f t="shared" si="0"/>
        <v>77000</v>
      </c>
      <c r="C32" s="10">
        <f t="shared" si="0"/>
        <v>82000</v>
      </c>
      <c r="D32" s="10">
        <f t="shared" si="0"/>
        <v>74500</v>
      </c>
      <c r="E32" s="10">
        <f t="shared" si="0"/>
        <v>82250</v>
      </c>
    </row>
    <row r="33" spans="1:5" x14ac:dyDescent="0.2">
      <c r="A33" s="11">
        <v>4000</v>
      </c>
      <c r="B33" s="10">
        <f t="shared" si="0"/>
        <v>91000</v>
      </c>
      <c r="C33" s="10">
        <f t="shared" si="0"/>
        <v>97000</v>
      </c>
      <c r="D33" s="10">
        <f t="shared" si="0"/>
        <v>89000</v>
      </c>
      <c r="E33" s="10">
        <f t="shared" si="0"/>
        <v>94000</v>
      </c>
    </row>
    <row r="34" spans="1:5" x14ac:dyDescent="0.2">
      <c r="A34" s="11">
        <v>4500</v>
      </c>
      <c r="B34" s="10">
        <f t="shared" si="0"/>
        <v>105000</v>
      </c>
      <c r="C34" s="10">
        <f t="shared" si="0"/>
        <v>112000</v>
      </c>
      <c r="D34" s="10">
        <f t="shared" si="0"/>
        <v>103500</v>
      </c>
      <c r="E34" s="10">
        <f t="shared" si="0"/>
        <v>105750</v>
      </c>
    </row>
    <row r="35" spans="1:5" x14ac:dyDescent="0.2">
      <c r="A35" s="11">
        <v>5000</v>
      </c>
      <c r="B35" s="14">
        <f t="shared" si="0"/>
        <v>119000</v>
      </c>
      <c r="C35" s="14">
        <f t="shared" si="0"/>
        <v>127000</v>
      </c>
      <c r="D35" s="14">
        <f t="shared" si="0"/>
        <v>118000</v>
      </c>
      <c r="E35" s="14">
        <f t="shared" si="0"/>
        <v>117500</v>
      </c>
    </row>
    <row r="36" spans="1:5" x14ac:dyDescent="0.2">
      <c r="A36" s="30">
        <v>5000</v>
      </c>
      <c r="B36" s="31">
        <f t="shared" si="0"/>
        <v>119000</v>
      </c>
      <c r="C36" s="31">
        <f t="shared" si="0"/>
        <v>127000</v>
      </c>
      <c r="D36" s="31">
        <f t="shared" si="0"/>
        <v>118000</v>
      </c>
      <c r="E36" s="31">
        <f t="shared" si="0"/>
        <v>117500</v>
      </c>
    </row>
    <row r="37" spans="1:5" x14ac:dyDescent="0.2">
      <c r="A37" s="30">
        <v>4900</v>
      </c>
      <c r="B37" s="31">
        <f t="shared" si="0"/>
        <v>116200</v>
      </c>
      <c r="C37" s="31">
        <f t="shared" si="0"/>
        <v>124000</v>
      </c>
      <c r="D37" s="31">
        <f t="shared" si="0"/>
        <v>115100</v>
      </c>
      <c r="E37" s="31">
        <f t="shared" si="0"/>
        <v>115150</v>
      </c>
    </row>
    <row r="38" spans="1:5" x14ac:dyDescent="0.2">
      <c r="A38" s="30">
        <v>4800</v>
      </c>
      <c r="B38" s="31">
        <f t="shared" si="0"/>
        <v>113400</v>
      </c>
      <c r="C38" s="31">
        <f t="shared" si="0"/>
        <v>121000</v>
      </c>
      <c r="D38" s="31">
        <f t="shared" si="0"/>
        <v>112200</v>
      </c>
      <c r="E38" s="31">
        <f t="shared" si="0"/>
        <v>112800</v>
      </c>
    </row>
    <row r="39" spans="1:5" x14ac:dyDescent="0.2">
      <c r="A39" s="30">
        <v>3539</v>
      </c>
      <c r="B39" s="31">
        <f t="shared" si="0"/>
        <v>78092</v>
      </c>
      <c r="C39" s="31">
        <f t="shared" si="0"/>
        <v>83170</v>
      </c>
      <c r="D39" s="31">
        <f t="shared" si="0"/>
        <v>75631</v>
      </c>
      <c r="E39" s="31">
        <f t="shared" si="0"/>
        <v>83166.5</v>
      </c>
    </row>
  </sheetData>
  <sheetProtection password="BBA6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rowBreaks count="1" manualBreakCount="1">
    <brk id="4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4" name="Button 2">
              <controlPr defaultSize="0" print="0" autoFill="0" autoPict="0">
                <anchor moveWithCells="1" sizeWithCells="1">
                  <from>
                    <xdr:col>0</xdr:col>
                    <xdr:colOff>47625</xdr:colOff>
                    <xdr:row>0</xdr:row>
                    <xdr:rowOff>123825</xdr:rowOff>
                  </from>
                  <to>
                    <xdr:col>0</xdr:col>
                    <xdr:colOff>1514475</xdr:colOff>
                    <xdr:row>0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/>
  <dimension ref="A1:E2"/>
  <sheetViews>
    <sheetView showGridLines="0" workbookViewId="0"/>
  </sheetViews>
  <sheetFormatPr baseColWidth="10" defaultRowHeight="12.75" x14ac:dyDescent="0.2"/>
  <sheetData>
    <row r="1" spans="1:5" ht="52.15" customHeight="1" x14ac:dyDescent="0.2">
      <c r="A1" s="16"/>
      <c r="B1" s="1"/>
    </row>
    <row r="2" spans="1:5" s="17" customFormat="1" ht="18.600000000000001" customHeight="1" x14ac:dyDescent="0.2">
      <c r="A2" s="34" t="s">
        <v>92</v>
      </c>
      <c r="B2" s="34"/>
      <c r="C2" s="34"/>
      <c r="D2" s="34"/>
      <c r="E2" s="34"/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>
                <anchor moveWithCells="1" sizeWithCells="1">
                  <from>
                    <xdr:col>0</xdr:col>
                    <xdr:colOff>47625</xdr:colOff>
                    <xdr:row>0</xdr:row>
                    <xdr:rowOff>123825</xdr:rowOff>
                  </from>
                  <to>
                    <xdr:col>1</xdr:col>
                    <xdr:colOff>723900</xdr:colOff>
                    <xdr:row>0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/>
  <dimension ref="A1:E2"/>
  <sheetViews>
    <sheetView showGridLines="0" workbookViewId="0"/>
  </sheetViews>
  <sheetFormatPr baseColWidth="10" defaultRowHeight="12.75" x14ac:dyDescent="0.2"/>
  <sheetData>
    <row r="1" spans="1:5" ht="52.15" customHeight="1" x14ac:dyDescent="0.2">
      <c r="A1" s="16"/>
      <c r="B1" s="1"/>
    </row>
    <row r="2" spans="1:5" s="17" customFormat="1" ht="18.600000000000001" customHeight="1" x14ac:dyDescent="0.2">
      <c r="A2" s="34" t="s">
        <v>93</v>
      </c>
      <c r="B2" s="34"/>
      <c r="C2" s="34"/>
      <c r="D2" s="34"/>
      <c r="E2" s="34"/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1" r:id="rId3" name="Button 5">
              <controlPr defaultSize="0" print="0" autoFill="0" autoPict="0">
                <anchor moveWithCells="1" sizeWithCells="1">
                  <from>
                    <xdr:col>0</xdr:col>
                    <xdr:colOff>114300</xdr:colOff>
                    <xdr:row>0</xdr:row>
                    <xdr:rowOff>152400</xdr:rowOff>
                  </from>
                  <to>
                    <xdr:col>2</xdr:col>
                    <xdr:colOff>38100</xdr:colOff>
                    <xdr:row>0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/>
  <dimension ref="A1:E23"/>
  <sheetViews>
    <sheetView showGridLines="0" showRowColHeaders="0" workbookViewId="0"/>
  </sheetViews>
  <sheetFormatPr baseColWidth="10" defaultRowHeight="12.75" x14ac:dyDescent="0.2"/>
  <cols>
    <col min="1" max="1" width="21.42578125" customWidth="1"/>
    <col min="2" max="4" width="16.7109375" customWidth="1"/>
  </cols>
  <sheetData>
    <row r="1" spans="1:5" ht="52.15" customHeight="1" x14ac:dyDescent="0.2">
      <c r="A1" s="16"/>
      <c r="B1" s="1"/>
    </row>
    <row r="2" spans="1:5" s="17" customFormat="1" ht="18.600000000000001" customHeight="1" x14ac:dyDescent="0.2">
      <c r="A2" s="34" t="s">
        <v>94</v>
      </c>
      <c r="B2" s="34"/>
      <c r="C2" s="34"/>
      <c r="D2" s="34"/>
      <c r="E2" s="37"/>
    </row>
    <row r="4" spans="1:5" x14ac:dyDescent="0.2">
      <c r="A4" s="40" t="s">
        <v>102</v>
      </c>
      <c r="B4" s="38">
        <v>10.5</v>
      </c>
      <c r="C4" t="s">
        <v>16</v>
      </c>
    </row>
    <row r="7" spans="1:5" x14ac:dyDescent="0.2">
      <c r="B7" s="6" t="s">
        <v>74</v>
      </c>
      <c r="C7" s="6" t="s">
        <v>75</v>
      </c>
      <c r="D7" s="6" t="s">
        <v>76</v>
      </c>
    </row>
    <row r="8" spans="1:5" x14ac:dyDescent="0.2">
      <c r="A8" s="41" t="s">
        <v>96</v>
      </c>
      <c r="B8" s="27">
        <v>120000</v>
      </c>
      <c r="C8" s="27">
        <v>141000</v>
      </c>
      <c r="D8" s="27">
        <v>131000</v>
      </c>
    </row>
    <row r="9" spans="1:5" x14ac:dyDescent="0.2">
      <c r="A9" s="43" t="s">
        <v>70</v>
      </c>
      <c r="B9" s="39">
        <v>23000</v>
      </c>
      <c r="C9" s="39">
        <v>39000</v>
      </c>
      <c r="D9" s="39">
        <v>25000</v>
      </c>
    </row>
    <row r="10" spans="1:5" x14ac:dyDescent="0.2">
      <c r="A10" s="42" t="s">
        <v>97</v>
      </c>
      <c r="B10" s="27">
        <v>22000</v>
      </c>
      <c r="C10" s="27">
        <v>18000</v>
      </c>
      <c r="D10" s="27">
        <v>35000</v>
      </c>
    </row>
    <row r="11" spans="1:5" x14ac:dyDescent="0.2">
      <c r="A11" s="42" t="s">
        <v>98</v>
      </c>
      <c r="B11" s="26">
        <v>29000</v>
      </c>
      <c r="C11" s="26">
        <v>26000</v>
      </c>
      <c r="D11" s="26">
        <v>39000</v>
      </c>
    </row>
    <row r="12" spans="1:5" x14ac:dyDescent="0.2">
      <c r="A12" s="42" t="s">
        <v>99</v>
      </c>
      <c r="B12" s="26">
        <v>43000</v>
      </c>
      <c r="C12" s="26">
        <v>33000</v>
      </c>
      <c r="D12" s="26">
        <v>45000</v>
      </c>
    </row>
    <row r="13" spans="1:5" x14ac:dyDescent="0.2">
      <c r="A13" s="42" t="s">
        <v>100</v>
      </c>
      <c r="B13" s="26">
        <v>65000</v>
      </c>
      <c r="C13" s="26">
        <v>43000</v>
      </c>
      <c r="D13" s="26">
        <v>52000</v>
      </c>
    </row>
    <row r="14" spans="1:5" x14ac:dyDescent="0.2">
      <c r="A14" s="43" t="s">
        <v>101</v>
      </c>
      <c r="B14" s="39">
        <v>71000</v>
      </c>
      <c r="C14" s="39">
        <v>57000</v>
      </c>
      <c r="D14" s="39">
        <v>59000</v>
      </c>
    </row>
    <row r="16" spans="1:5" x14ac:dyDescent="0.2">
      <c r="B16" s="5" t="s">
        <v>74</v>
      </c>
      <c r="C16" s="5" t="s">
        <v>75</v>
      </c>
      <c r="D16" s="5" t="s">
        <v>76</v>
      </c>
    </row>
    <row r="17" spans="1:4" x14ac:dyDescent="0.2">
      <c r="A17" s="41">
        <v>0</v>
      </c>
      <c r="B17" s="8">
        <f>(B8*(-1))</f>
        <v>-120000</v>
      </c>
      <c r="C17" s="8">
        <f>(C8*(-1))</f>
        <v>-141000</v>
      </c>
      <c r="D17" s="8">
        <f>(D8*(-1))</f>
        <v>-131000</v>
      </c>
    </row>
    <row r="18" spans="1:4" x14ac:dyDescent="0.2">
      <c r="A18" s="42">
        <v>1</v>
      </c>
      <c r="B18" s="12">
        <f t="shared" ref="B18:D21" si="0">B10*(1+($B$4/100))^($A18*(-1))</f>
        <v>19909.502262443439</v>
      </c>
      <c r="C18" s="12">
        <f t="shared" si="0"/>
        <v>16289.592760180996</v>
      </c>
      <c r="D18" s="12">
        <f t="shared" si="0"/>
        <v>31674.208144796379</v>
      </c>
    </row>
    <row r="19" spans="1:4" x14ac:dyDescent="0.2">
      <c r="A19" s="42">
        <v>2</v>
      </c>
      <c r="B19" s="12">
        <f t="shared" si="0"/>
        <v>23750.537458283001</v>
      </c>
      <c r="C19" s="12">
        <f t="shared" si="0"/>
        <v>21293.585307426139</v>
      </c>
      <c r="D19" s="12">
        <f t="shared" si="0"/>
        <v>31940.377961139209</v>
      </c>
    </row>
    <row r="20" spans="1:4" x14ac:dyDescent="0.2">
      <c r="A20" s="42">
        <v>3</v>
      </c>
      <c r="B20" s="12">
        <f t="shared" si="0"/>
        <v>31869.967567675736</v>
      </c>
      <c r="C20" s="12">
        <f t="shared" si="0"/>
        <v>24458.347203099984</v>
      </c>
      <c r="D20" s="12">
        <f t="shared" si="0"/>
        <v>33352.291640590891</v>
      </c>
    </row>
    <row r="21" spans="1:4" x14ac:dyDescent="0.2">
      <c r="A21" s="42">
        <v>4</v>
      </c>
      <c r="B21" s="12">
        <f t="shared" si="0"/>
        <v>43597.766850445601</v>
      </c>
      <c r="C21" s="12">
        <f t="shared" si="0"/>
        <v>28841.599608756322</v>
      </c>
      <c r="D21" s="12">
        <f t="shared" si="0"/>
        <v>34878.213480356484</v>
      </c>
    </row>
    <row r="22" spans="1:4" x14ac:dyDescent="0.2">
      <c r="A22" s="42">
        <v>5</v>
      </c>
      <c r="B22" s="13">
        <f>(B14+B9)*(1+($B$4/100))^($A22*(-1))</f>
        <v>57057.989334380596</v>
      </c>
      <c r="C22" s="13">
        <f>(C14+C9)*(1+($B$4/100))^($A22*(-1))</f>
        <v>58271.989107452529</v>
      </c>
      <c r="D22" s="13">
        <f>(D14+D9)*(1+($B$4/100))^($A22*(-1))</f>
        <v>50987.990469020959</v>
      </c>
    </row>
    <row r="23" spans="1:4" x14ac:dyDescent="0.2">
      <c r="A23" s="44" t="s">
        <v>103</v>
      </c>
      <c r="B23" s="20">
        <f>SUM(B17:B22)</f>
        <v>56185.763473228362</v>
      </c>
      <c r="C23" s="20">
        <f>SUM(C17:C22)</f>
        <v>8155.1139869159742</v>
      </c>
      <c r="D23" s="20">
        <f>SUM(D17:D22)</f>
        <v>51833.081695903915</v>
      </c>
    </row>
  </sheetData>
  <sheetProtection password="BBA6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2" r:id="rId4" name="Button 2">
              <controlPr defaultSize="0" print="0" autoFill="0" autoPict="0">
                <anchor moveWithCells="1" sizeWithCells="1">
                  <from>
                    <xdr:col>0</xdr:col>
                    <xdr:colOff>47625</xdr:colOff>
                    <xdr:row>0</xdr:row>
                    <xdr:rowOff>171450</xdr:rowOff>
                  </from>
                  <to>
                    <xdr:col>1</xdr:col>
                    <xdr:colOff>85725</xdr:colOff>
                    <xdr:row>0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"/>
  <dimension ref="A1:E30"/>
  <sheetViews>
    <sheetView showGridLines="0" showRowColHeaders="0" workbookViewId="0"/>
  </sheetViews>
  <sheetFormatPr baseColWidth="10" defaultColWidth="11.5703125" defaultRowHeight="12" x14ac:dyDescent="0.2"/>
  <cols>
    <col min="1" max="1" width="15.42578125" style="169" customWidth="1"/>
    <col min="2" max="5" width="14.7109375" style="169" customWidth="1"/>
    <col min="6" max="16384" width="11.5703125" style="169"/>
  </cols>
  <sheetData>
    <row r="1" spans="1:5" ht="52.15" customHeight="1" x14ac:dyDescent="0.2">
      <c r="A1" s="61"/>
      <c r="B1" s="168"/>
    </row>
    <row r="2" spans="1:5" ht="18.600000000000001" customHeight="1" x14ac:dyDescent="0.2">
      <c r="A2" s="34" t="s">
        <v>143</v>
      </c>
      <c r="B2" s="170"/>
      <c r="C2" s="170"/>
      <c r="D2" s="170"/>
      <c r="E2" s="170"/>
    </row>
    <row r="5" spans="1:5" x14ac:dyDescent="0.2">
      <c r="B5" s="171" t="s">
        <v>74</v>
      </c>
      <c r="C5" s="171" t="s">
        <v>75</v>
      </c>
    </row>
    <row r="6" spans="1:5" x14ac:dyDescent="0.2">
      <c r="A6" s="172" t="s">
        <v>96</v>
      </c>
      <c r="B6" s="155">
        <v>85000</v>
      </c>
      <c r="C6" s="155">
        <v>90000</v>
      </c>
    </row>
    <row r="7" spans="1:5" x14ac:dyDescent="0.2">
      <c r="A7" s="173" t="s">
        <v>70</v>
      </c>
      <c r="B7" s="157">
        <v>5000</v>
      </c>
      <c r="C7" s="157">
        <v>10000</v>
      </c>
    </row>
    <row r="8" spans="1:5" x14ac:dyDescent="0.2">
      <c r="A8" s="174" t="s">
        <v>97</v>
      </c>
      <c r="B8" s="155">
        <v>20000</v>
      </c>
      <c r="C8" s="155">
        <v>15000</v>
      </c>
    </row>
    <row r="9" spans="1:5" x14ac:dyDescent="0.2">
      <c r="A9" s="174" t="s">
        <v>98</v>
      </c>
      <c r="B9" s="159">
        <v>25000</v>
      </c>
      <c r="C9" s="159">
        <v>20000</v>
      </c>
    </row>
    <row r="10" spans="1:5" x14ac:dyDescent="0.2">
      <c r="A10" s="174" t="s">
        <v>99</v>
      </c>
      <c r="B10" s="159">
        <v>30000</v>
      </c>
      <c r="C10" s="159">
        <v>25000</v>
      </c>
    </row>
    <row r="11" spans="1:5" x14ac:dyDescent="0.2">
      <c r="A11" s="174" t="s">
        <v>100</v>
      </c>
      <c r="B11" s="159">
        <v>25000</v>
      </c>
      <c r="C11" s="159">
        <v>30000</v>
      </c>
    </row>
    <row r="12" spans="1:5" x14ac:dyDescent="0.2">
      <c r="A12" s="173" t="s">
        <v>101</v>
      </c>
      <c r="B12" s="157">
        <v>20000</v>
      </c>
      <c r="C12" s="157">
        <v>25000</v>
      </c>
    </row>
    <row r="14" spans="1:5" x14ac:dyDescent="0.2">
      <c r="B14" s="169" t="s">
        <v>135</v>
      </c>
      <c r="C14" s="76">
        <v>10</v>
      </c>
      <c r="D14" s="169" t="s">
        <v>137</v>
      </c>
    </row>
    <row r="15" spans="1:5" x14ac:dyDescent="0.2">
      <c r="B15" s="169" t="s">
        <v>136</v>
      </c>
      <c r="C15" s="76">
        <v>15</v>
      </c>
      <c r="D15" s="169" t="s">
        <v>138</v>
      </c>
    </row>
    <row r="16" spans="1:5" x14ac:dyDescent="0.2">
      <c r="C16" s="175"/>
    </row>
    <row r="17" spans="1:5" x14ac:dyDescent="0.2">
      <c r="C17" s="175"/>
    </row>
    <row r="18" spans="1:5" x14ac:dyDescent="0.2">
      <c r="B18" s="223" t="s">
        <v>141</v>
      </c>
      <c r="C18" s="224"/>
      <c r="D18" s="224"/>
      <c r="E18" s="224"/>
    </row>
    <row r="19" spans="1:5" x14ac:dyDescent="0.2">
      <c r="B19" s="223" t="s">
        <v>74</v>
      </c>
      <c r="C19" s="223"/>
      <c r="D19" s="223" t="s">
        <v>75</v>
      </c>
      <c r="E19" s="223"/>
    </row>
    <row r="20" spans="1:5" x14ac:dyDescent="0.2">
      <c r="A20" s="176" t="s">
        <v>139</v>
      </c>
      <c r="B20" s="177">
        <f>C14</f>
        <v>10</v>
      </c>
      <c r="C20" s="177">
        <f>C15</f>
        <v>15</v>
      </c>
      <c r="D20" s="177">
        <f>C14</f>
        <v>10</v>
      </c>
      <c r="E20" s="177">
        <f>C15</f>
        <v>15</v>
      </c>
    </row>
    <row r="21" spans="1:5" x14ac:dyDescent="0.2">
      <c r="A21" s="178">
        <v>0</v>
      </c>
      <c r="B21" s="179">
        <f>($B$6*(-1))</f>
        <v>-85000</v>
      </c>
      <c r="C21" s="179">
        <f>($B$6*(-1))</f>
        <v>-85000</v>
      </c>
      <c r="D21" s="179">
        <f>($C$6*(-1))</f>
        <v>-90000</v>
      </c>
      <c r="E21" s="179">
        <f>($C$6*(-1))</f>
        <v>-90000</v>
      </c>
    </row>
    <row r="22" spans="1:5" x14ac:dyDescent="0.2">
      <c r="A22" s="178">
        <v>1</v>
      </c>
      <c r="B22" s="180">
        <f>$B$8*(1+($C$14/100))^($A22*(-1))</f>
        <v>18181.81818181818</v>
      </c>
      <c r="C22" s="180">
        <f>$B$8*(1+($C$15/100))^($A22*(-1))</f>
        <v>17391.304347826088</v>
      </c>
      <c r="D22" s="180">
        <f>$C$8*(1+($C$14/100))^($A22*(-1))</f>
        <v>13636.363636363636</v>
      </c>
      <c r="E22" s="180">
        <f>$C$8*(1+($C$15/100))^($A22*(-1))</f>
        <v>13043.478260869566</v>
      </c>
    </row>
    <row r="23" spans="1:5" x14ac:dyDescent="0.2">
      <c r="A23" s="178">
        <v>2</v>
      </c>
      <c r="B23" s="180">
        <f>$B$9*(1+($C$14/100))^($A23*(-1))</f>
        <v>20661.157024793385</v>
      </c>
      <c r="C23" s="180">
        <f>$B$9*(1+($C$15/100))^($A23*(-1))</f>
        <v>18903.591682419661</v>
      </c>
      <c r="D23" s="180">
        <f>$C$9*(1+($C$14/100))^($A23*(-1))</f>
        <v>16528.92561983471</v>
      </c>
      <c r="E23" s="180">
        <f>$C$9*(1+($C$15/100))^($A23*(-1))</f>
        <v>15122.87334593573</v>
      </c>
    </row>
    <row r="24" spans="1:5" x14ac:dyDescent="0.2">
      <c r="A24" s="178">
        <v>3</v>
      </c>
      <c r="B24" s="180">
        <f>$B$10*(1+($C$14/100))^($A24*(-1))</f>
        <v>22539.444027047328</v>
      </c>
      <c r="C24" s="180">
        <f>$B$10*(1+($C$15/100))^($A24*(-1))</f>
        <v>19725.48697295965</v>
      </c>
      <c r="D24" s="180">
        <f>$C$10*(1+($C$14/100))^($A24*(-1))</f>
        <v>18782.870022539439</v>
      </c>
      <c r="E24" s="180">
        <f>$C$10*(1+($C$15/100))^($A24*(-1))</f>
        <v>16437.905810799708</v>
      </c>
    </row>
    <row r="25" spans="1:5" x14ac:dyDescent="0.2">
      <c r="A25" s="178">
        <v>4</v>
      </c>
      <c r="B25" s="180">
        <f>$B$11*(1+($C$14/100))^($A25*(-1))</f>
        <v>17075.336384126764</v>
      </c>
      <c r="C25" s="180">
        <f>$B$11*(1+($C$15/100))^($A25*(-1))</f>
        <v>14293.831139825836</v>
      </c>
      <c r="D25" s="180">
        <f>$C$11*(1+($C$14/100))^($A25*(-1))</f>
        <v>20490.403660952117</v>
      </c>
      <c r="E25" s="180">
        <f>$C$11*(1+($C$15/100))^($A25*(-1))</f>
        <v>17152.597367791004</v>
      </c>
    </row>
    <row r="26" spans="1:5" x14ac:dyDescent="0.2">
      <c r="A26" s="181">
        <v>5</v>
      </c>
      <c r="B26" s="182">
        <f>($B$12+$B$7)*(1+($C$14/100))^($A26*(-1))</f>
        <v>15523.033076478872</v>
      </c>
      <c r="C26" s="182">
        <f>($B$12+$B$7)*(1+($C$15/100))^($A26*(-1))</f>
        <v>12429.418382457246</v>
      </c>
      <c r="D26" s="182">
        <f>($C$12+$C$7)*(1+($C$14/100))^($A26*(-1))</f>
        <v>21732.246307070422</v>
      </c>
      <c r="E26" s="182">
        <f>($C$12+$C$7)*(1+($C$15/100))^($A26*(-1))</f>
        <v>17401.185735440147</v>
      </c>
    </row>
    <row r="27" spans="1:5" x14ac:dyDescent="0.2">
      <c r="A27" s="176" t="s">
        <v>140</v>
      </c>
      <c r="B27" s="183">
        <f>SUM(B21:B26)</f>
        <v>8980.7886942645255</v>
      </c>
      <c r="C27" s="183">
        <f>SUM(C21:C26)</f>
        <v>-2256.3674745115259</v>
      </c>
      <c r="D27" s="183">
        <f>SUM(D21:D26)</f>
        <v>1170.8092467603274</v>
      </c>
      <c r="E27" s="183">
        <f>SUM(E21:E26)</f>
        <v>-10841.959479163837</v>
      </c>
    </row>
    <row r="28" spans="1:5" x14ac:dyDescent="0.2">
      <c r="A28" s="184"/>
      <c r="B28" s="185"/>
      <c r="C28" s="186"/>
      <c r="D28" s="185"/>
      <c r="E28" s="186"/>
    </row>
    <row r="29" spans="1:5" x14ac:dyDescent="0.2">
      <c r="A29" s="178"/>
      <c r="B29" s="187"/>
      <c r="C29" s="188"/>
      <c r="D29" s="187"/>
      <c r="E29" s="188"/>
    </row>
    <row r="30" spans="1:5" x14ac:dyDescent="0.2">
      <c r="A30" s="181" t="s">
        <v>142</v>
      </c>
      <c r="B30" s="225">
        <f>(($C$14/100)-(B27*((($C$15/100)-($C$14/100))/(C27-B27))))*100</f>
        <v>13.99602379791555</v>
      </c>
      <c r="C30" s="226"/>
      <c r="D30" s="225">
        <f>(($C$14/100)-(D27*((($C$15/100)-($C$14/100))/(E27-D27))))*100</f>
        <v>10.487318649627236</v>
      </c>
      <c r="E30" s="226"/>
    </row>
  </sheetData>
  <sheetProtection password="BBA6" sheet="1" objects="1" scenarios="1"/>
  <mergeCells count="5">
    <mergeCell ref="B18:E18"/>
    <mergeCell ref="B30:C30"/>
    <mergeCell ref="D30:E30"/>
    <mergeCell ref="B19:C19"/>
    <mergeCell ref="D19:E19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3" name="Button 2">
              <controlPr defaultSize="0" print="0" autoFill="0" autoPict="0">
                <anchor moveWithCells="1" sizeWithCells="1">
                  <from>
                    <xdr:col>0</xdr:col>
                    <xdr:colOff>47625</xdr:colOff>
                    <xdr:row>0</xdr:row>
                    <xdr:rowOff>123825</xdr:rowOff>
                  </from>
                  <to>
                    <xdr:col>1</xdr:col>
                    <xdr:colOff>476250</xdr:colOff>
                    <xdr:row>0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8"/>
  <dimension ref="A1:E26"/>
  <sheetViews>
    <sheetView showGridLines="0" showRowColHeaders="0" workbookViewId="0"/>
  </sheetViews>
  <sheetFormatPr baseColWidth="10" defaultColWidth="11.5703125" defaultRowHeight="12" x14ac:dyDescent="0.2"/>
  <cols>
    <col min="1" max="1" width="22.140625" style="63" customWidth="1"/>
    <col min="2" max="2" width="19.42578125" style="63" customWidth="1"/>
    <col min="3" max="3" width="19.28515625" style="63" customWidth="1"/>
    <col min="4" max="16384" width="11.5703125" style="63"/>
  </cols>
  <sheetData>
    <row r="1" spans="1:5" ht="52.15" customHeight="1" x14ac:dyDescent="0.2">
      <c r="A1" s="61"/>
      <c r="B1" s="62"/>
    </row>
    <row r="2" spans="1:5" s="45" customFormat="1" ht="18.600000000000001" customHeight="1" x14ac:dyDescent="0.2">
      <c r="A2" s="34" t="s">
        <v>95</v>
      </c>
      <c r="B2" s="34"/>
      <c r="C2" s="34"/>
      <c r="D2" s="34"/>
      <c r="E2" s="34"/>
    </row>
    <row r="4" spans="1:5" x14ac:dyDescent="0.2">
      <c r="A4" s="152" t="s">
        <v>102</v>
      </c>
      <c r="B4" s="153">
        <v>8</v>
      </c>
      <c r="C4" s="63" t="s">
        <v>16</v>
      </c>
    </row>
    <row r="7" spans="1:5" x14ac:dyDescent="0.2">
      <c r="B7" s="99" t="s">
        <v>74</v>
      </c>
      <c r="C7" s="99" t="s">
        <v>75</v>
      </c>
    </row>
    <row r="8" spans="1:5" x14ac:dyDescent="0.2">
      <c r="A8" s="154" t="s">
        <v>96</v>
      </c>
      <c r="B8" s="155">
        <v>120000</v>
      </c>
      <c r="C8" s="155">
        <v>141000</v>
      </c>
    </row>
    <row r="9" spans="1:5" x14ac:dyDescent="0.2">
      <c r="A9" s="156" t="s">
        <v>70</v>
      </c>
      <c r="B9" s="157">
        <v>23000</v>
      </c>
      <c r="C9" s="157">
        <v>39000</v>
      </c>
    </row>
    <row r="10" spans="1:5" x14ac:dyDescent="0.2">
      <c r="A10" s="158" t="s">
        <v>97</v>
      </c>
      <c r="B10" s="155">
        <v>22000</v>
      </c>
      <c r="C10" s="155">
        <v>18000</v>
      </c>
    </row>
    <row r="11" spans="1:5" x14ac:dyDescent="0.2">
      <c r="A11" s="158" t="s">
        <v>98</v>
      </c>
      <c r="B11" s="159">
        <v>29000</v>
      </c>
      <c r="C11" s="159">
        <v>26000</v>
      </c>
    </row>
    <row r="12" spans="1:5" x14ac:dyDescent="0.2">
      <c r="A12" s="158" t="s">
        <v>99</v>
      </c>
      <c r="B12" s="159">
        <v>43000</v>
      </c>
      <c r="C12" s="159">
        <v>33000</v>
      </c>
    </row>
    <row r="13" spans="1:5" x14ac:dyDescent="0.2">
      <c r="A13" s="158" t="s">
        <v>100</v>
      </c>
      <c r="B13" s="159">
        <v>44000</v>
      </c>
      <c r="C13" s="159">
        <v>43000</v>
      </c>
    </row>
    <row r="14" spans="1:5" x14ac:dyDescent="0.2">
      <c r="A14" s="156" t="s">
        <v>101</v>
      </c>
      <c r="B14" s="157">
        <v>27000</v>
      </c>
      <c r="C14" s="157">
        <v>57000</v>
      </c>
    </row>
    <row r="17" spans="1:3" x14ac:dyDescent="0.2">
      <c r="B17" s="227" t="s">
        <v>141</v>
      </c>
      <c r="C17" s="228"/>
    </row>
    <row r="18" spans="1:3" x14ac:dyDescent="0.2">
      <c r="A18" s="123"/>
      <c r="B18" s="92" t="s">
        <v>74</v>
      </c>
      <c r="C18" s="92" t="s">
        <v>75</v>
      </c>
    </row>
    <row r="19" spans="1:3" x14ac:dyDescent="0.2">
      <c r="A19" s="189">
        <v>0</v>
      </c>
      <c r="B19" s="131">
        <f>(B8*(-1))</f>
        <v>-120000</v>
      </c>
      <c r="C19" s="131">
        <f>(C8*(-1))</f>
        <v>-141000</v>
      </c>
    </row>
    <row r="20" spans="1:3" x14ac:dyDescent="0.2">
      <c r="A20" s="189">
        <v>1</v>
      </c>
      <c r="B20" s="135">
        <f t="shared" ref="B20:C23" si="0">B19+B10*(1+($B$4/100))^($A20*(-1))</f>
        <v>-99629.629629629635</v>
      </c>
      <c r="C20" s="135">
        <f t="shared" si="0"/>
        <v>-124333.33333333334</v>
      </c>
    </row>
    <row r="21" spans="1:3" x14ac:dyDescent="0.2">
      <c r="A21" s="189">
        <v>2</v>
      </c>
      <c r="B21" s="135">
        <f t="shared" si="0"/>
        <v>-74766.803840877925</v>
      </c>
      <c r="C21" s="135">
        <f t="shared" si="0"/>
        <v>-102042.52400548698</v>
      </c>
    </row>
    <row r="22" spans="1:3" x14ac:dyDescent="0.2">
      <c r="A22" s="189">
        <v>3</v>
      </c>
      <c r="B22" s="135">
        <f t="shared" si="0"/>
        <v>-40632.017477010631</v>
      </c>
      <c r="C22" s="135">
        <f t="shared" si="0"/>
        <v>-75846.060051821376</v>
      </c>
    </row>
    <row r="23" spans="1:3" x14ac:dyDescent="0.2">
      <c r="A23" s="189">
        <v>4</v>
      </c>
      <c r="B23" s="135">
        <f t="shared" si="0"/>
        <v>-8290.7039539666875</v>
      </c>
      <c r="C23" s="135">
        <f t="shared" si="0"/>
        <v>-44239.776381573887</v>
      </c>
    </row>
    <row r="24" spans="1:3" x14ac:dyDescent="0.2">
      <c r="A24" s="189">
        <v>5</v>
      </c>
      <c r="B24" s="137">
        <f>B23+((B14+B9)*(1+($B$4/100))^($A24*(-1)))</f>
        <v>25738.455897720967</v>
      </c>
      <c r="C24" s="137">
        <f>C23+(C14+C9)*(1+($B$4/100))^($A24*(-1))</f>
        <v>21096.210533666403</v>
      </c>
    </row>
    <row r="25" spans="1:3" x14ac:dyDescent="0.2">
      <c r="A25" s="189"/>
      <c r="B25" s="70"/>
      <c r="C25" s="70"/>
    </row>
    <row r="26" spans="1:3" x14ac:dyDescent="0.2">
      <c r="B26" s="123"/>
      <c r="C26" s="123"/>
    </row>
  </sheetData>
  <sheetProtection password="BBA6" sheet="1" objects="1" scenarios="1"/>
  <mergeCells count="1">
    <mergeCell ref="B17:C17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0" r:id="rId3" name="Button 2">
              <controlPr defaultSize="0" print="0" autoFill="0" autoPict="0">
                <anchor moveWithCells="1" sizeWithCells="1">
                  <from>
                    <xdr:col>0</xdr:col>
                    <xdr:colOff>47625</xdr:colOff>
                    <xdr:row>0</xdr:row>
                    <xdr:rowOff>123825</xdr:rowOff>
                  </from>
                  <to>
                    <xdr:col>1</xdr:col>
                    <xdr:colOff>28575</xdr:colOff>
                    <xdr:row>0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/>
  <dimension ref="A1:G53"/>
  <sheetViews>
    <sheetView showGridLines="0" showRowColHeaders="0" workbookViewId="0"/>
  </sheetViews>
  <sheetFormatPr baseColWidth="10" defaultColWidth="11.5703125" defaultRowHeight="12" x14ac:dyDescent="0.2"/>
  <cols>
    <col min="1" max="1" width="13.7109375" style="63" customWidth="1"/>
    <col min="2" max="2" width="18.140625" style="63" customWidth="1"/>
    <col min="3" max="3" width="16.5703125" style="63" customWidth="1"/>
    <col min="4" max="4" width="4" style="63" customWidth="1"/>
    <col min="5" max="7" width="15.7109375" style="63" customWidth="1"/>
    <col min="8" max="16384" width="11.5703125" style="63"/>
  </cols>
  <sheetData>
    <row r="1" spans="1:7" ht="52.15" customHeight="1" x14ac:dyDescent="0.2">
      <c r="A1" s="61"/>
      <c r="B1" s="62"/>
    </row>
    <row r="2" spans="1:7" s="57" customFormat="1" ht="15" x14ac:dyDescent="0.2">
      <c r="A2" s="55" t="s">
        <v>25</v>
      </c>
      <c r="B2" s="56"/>
      <c r="C2" s="56"/>
      <c r="D2" s="56"/>
      <c r="E2" s="56"/>
      <c r="F2" s="56"/>
      <c r="G2" s="56"/>
    </row>
    <row r="3" spans="1:7" ht="29.45" customHeight="1" x14ac:dyDescent="0.2"/>
    <row r="4" spans="1:7" x14ac:dyDescent="0.2">
      <c r="A4" s="111" t="s">
        <v>26</v>
      </c>
      <c r="B4" s="112">
        <v>35</v>
      </c>
      <c r="C4" s="113" t="s">
        <v>27</v>
      </c>
    </row>
    <row r="5" spans="1:7" x14ac:dyDescent="0.2">
      <c r="A5" s="114" t="s">
        <v>24</v>
      </c>
      <c r="B5" s="115">
        <v>11.5</v>
      </c>
      <c r="C5" s="116" t="s">
        <v>28</v>
      </c>
    </row>
    <row r="6" spans="1:7" x14ac:dyDescent="0.2">
      <c r="A6" s="117" t="s">
        <v>29</v>
      </c>
      <c r="B6" s="118">
        <f>1+(B5/100)</f>
        <v>1.115</v>
      </c>
      <c r="C6" s="119"/>
    </row>
    <row r="8" spans="1:7" x14ac:dyDescent="0.2">
      <c r="A8" s="111" t="s">
        <v>30</v>
      </c>
      <c r="B8" s="112">
        <v>20</v>
      </c>
      <c r="C8" s="113" t="s">
        <v>27</v>
      </c>
    </row>
    <row r="9" spans="1:7" x14ac:dyDescent="0.2">
      <c r="A9" s="114" t="s">
        <v>31</v>
      </c>
      <c r="B9" s="115">
        <v>13200</v>
      </c>
      <c r="C9" s="116" t="s">
        <v>7</v>
      </c>
    </row>
    <row r="10" spans="1:7" x14ac:dyDescent="0.2">
      <c r="A10" s="114" t="s">
        <v>24</v>
      </c>
      <c r="B10" s="115">
        <v>9.5</v>
      </c>
      <c r="C10" s="116" t="s">
        <v>28</v>
      </c>
    </row>
    <row r="11" spans="1:7" x14ac:dyDescent="0.2">
      <c r="A11" s="117" t="s">
        <v>29</v>
      </c>
      <c r="B11" s="118">
        <f>1+(B10/100)</f>
        <v>1.095</v>
      </c>
      <c r="C11" s="119"/>
      <c r="E11" s="120" t="s">
        <v>32</v>
      </c>
    </row>
    <row r="13" spans="1:7" x14ac:dyDescent="0.2">
      <c r="A13" s="121" t="s">
        <v>33</v>
      </c>
      <c r="B13" s="122">
        <f>$B$9*$B$11*($B$11^(-1*$B$8))*((($B$11^$B$8)-1)/($B$11-1))</f>
        <v>127374.17111683656</v>
      </c>
      <c r="C13" s="113"/>
    </row>
    <row r="14" spans="1:7" x14ac:dyDescent="0.2">
      <c r="A14" s="114"/>
      <c r="B14" s="123"/>
      <c r="C14" s="116"/>
    </row>
    <row r="15" spans="1:7" x14ac:dyDescent="0.2">
      <c r="A15" s="124" t="s">
        <v>34</v>
      </c>
      <c r="B15" s="125">
        <f>(($B$6-1)/(($B$6^$B$4)-1))*($B$13/$B$6)</f>
        <v>297.58557743792761</v>
      </c>
      <c r="C15" s="119"/>
    </row>
    <row r="17" spans="1:7" ht="21" customHeight="1" x14ac:dyDescent="0.2">
      <c r="A17" s="229" t="s">
        <v>35</v>
      </c>
      <c r="B17" s="230"/>
      <c r="C17" s="231"/>
      <c r="E17" s="229" t="s">
        <v>36</v>
      </c>
      <c r="F17" s="230"/>
      <c r="G17" s="231"/>
    </row>
    <row r="18" spans="1:7" ht="24" x14ac:dyDescent="0.2">
      <c r="A18" s="92" t="s">
        <v>37</v>
      </c>
      <c r="B18" s="126" t="s">
        <v>38</v>
      </c>
      <c r="C18" s="127" t="s">
        <v>39</v>
      </c>
      <c r="D18" s="101"/>
      <c r="E18" s="126" t="s">
        <v>40</v>
      </c>
      <c r="F18" s="99" t="s">
        <v>30</v>
      </c>
      <c r="G18" s="99" t="s">
        <v>41</v>
      </c>
    </row>
    <row r="19" spans="1:7" x14ac:dyDescent="0.2">
      <c r="A19" s="128">
        <v>1</v>
      </c>
      <c r="B19" s="129">
        <f>B15*B6</f>
        <v>331.80791884328926</v>
      </c>
      <c r="C19" s="129">
        <f>$B$15*$B$6</f>
        <v>331.80791884328926</v>
      </c>
      <c r="E19" s="129">
        <f>$B$13</f>
        <v>127374.17111683656</v>
      </c>
      <c r="F19" s="130">
        <f>$B$9</f>
        <v>13200</v>
      </c>
      <c r="G19" s="131">
        <f>(E19-F19)*($B$10/100)</f>
        <v>10846.546256099473</v>
      </c>
    </row>
    <row r="20" spans="1:7" x14ac:dyDescent="0.2">
      <c r="A20" s="132">
        <f t="shared" ref="A20:A53" si="0">A19+1</f>
        <v>2</v>
      </c>
      <c r="B20" s="133">
        <f>(B19+$B$15)*$B$6</f>
        <v>701.7737483535567</v>
      </c>
      <c r="C20" s="133">
        <f>B20-B19</f>
        <v>369.96582951026744</v>
      </c>
      <c r="E20" s="133">
        <f>E19-F19+G19</f>
        <v>125020.71737293604</v>
      </c>
      <c r="F20" s="134">
        <f>$B$9</f>
        <v>13200</v>
      </c>
      <c r="G20" s="135">
        <f t="shared" ref="G20:G38" si="1">(E20-F20)*($B$10/100)</f>
        <v>10622.968150428924</v>
      </c>
    </row>
    <row r="21" spans="1:7" x14ac:dyDescent="0.2">
      <c r="A21" s="132">
        <f t="shared" si="0"/>
        <v>3</v>
      </c>
      <c r="B21" s="133">
        <f t="shared" ref="B21:B53" si="2">(B20+$B$15)*$B$6</f>
        <v>1114.285648257505</v>
      </c>
      <c r="C21" s="133">
        <f t="shared" ref="C21:C53" si="3">B21-B20</f>
        <v>412.51189990394835</v>
      </c>
      <c r="E21" s="133">
        <f t="shared" ref="E21:E39" si="4">E20-F20+G20</f>
        <v>122443.68552336495</v>
      </c>
      <c r="F21" s="134">
        <f t="shared" ref="F21:F38" si="5">$B$9</f>
        <v>13200</v>
      </c>
      <c r="G21" s="135">
        <f t="shared" si="1"/>
        <v>10378.15012471967</v>
      </c>
    </row>
    <row r="22" spans="1:7" x14ac:dyDescent="0.2">
      <c r="A22" s="132">
        <f t="shared" si="0"/>
        <v>4</v>
      </c>
      <c r="B22" s="133">
        <f t="shared" si="2"/>
        <v>1574.2364166504074</v>
      </c>
      <c r="C22" s="133">
        <f t="shared" si="3"/>
        <v>459.95076839290232</v>
      </c>
      <c r="E22" s="133">
        <f t="shared" si="4"/>
        <v>119621.83564808463</v>
      </c>
      <c r="F22" s="134">
        <f t="shared" si="5"/>
        <v>13200</v>
      </c>
      <c r="G22" s="135">
        <f t="shared" si="1"/>
        <v>10110.07438656804</v>
      </c>
    </row>
    <row r="23" spans="1:7" x14ac:dyDescent="0.2">
      <c r="A23" s="132">
        <f t="shared" si="0"/>
        <v>5</v>
      </c>
      <c r="B23" s="133">
        <f t="shared" si="2"/>
        <v>2087.0815234084935</v>
      </c>
      <c r="C23" s="133">
        <f t="shared" si="3"/>
        <v>512.8451067580861</v>
      </c>
      <c r="E23" s="133">
        <f t="shared" si="4"/>
        <v>116531.91003465267</v>
      </c>
      <c r="F23" s="134">
        <f t="shared" si="5"/>
        <v>13200</v>
      </c>
      <c r="G23" s="135">
        <f t="shared" si="1"/>
        <v>9816.5314532920038</v>
      </c>
    </row>
    <row r="24" spans="1:7" x14ac:dyDescent="0.2">
      <c r="A24" s="132">
        <f t="shared" si="0"/>
        <v>6</v>
      </c>
      <c r="B24" s="133">
        <f t="shared" si="2"/>
        <v>2658.9038174437592</v>
      </c>
      <c r="C24" s="133">
        <f t="shared" si="3"/>
        <v>571.82229403526571</v>
      </c>
      <c r="E24" s="133">
        <f t="shared" si="4"/>
        <v>113148.44148794467</v>
      </c>
      <c r="F24" s="134">
        <f t="shared" si="5"/>
        <v>13200</v>
      </c>
      <c r="G24" s="135">
        <f t="shared" si="1"/>
        <v>9495.1019413547438</v>
      </c>
    </row>
    <row r="25" spans="1:7" x14ac:dyDescent="0.2">
      <c r="A25" s="132">
        <f t="shared" si="0"/>
        <v>7</v>
      </c>
      <c r="B25" s="133">
        <f t="shared" si="2"/>
        <v>3296.4856752930805</v>
      </c>
      <c r="C25" s="133">
        <f t="shared" si="3"/>
        <v>637.5818578493213</v>
      </c>
      <c r="E25" s="133">
        <f t="shared" si="4"/>
        <v>109443.54342929942</v>
      </c>
      <c r="F25" s="134">
        <f t="shared" si="5"/>
        <v>13200</v>
      </c>
      <c r="G25" s="135">
        <f t="shared" si="1"/>
        <v>9143.1366257834452</v>
      </c>
    </row>
    <row r="26" spans="1:7" x14ac:dyDescent="0.2">
      <c r="A26" s="132">
        <f t="shared" si="0"/>
        <v>8</v>
      </c>
      <c r="B26" s="133">
        <f t="shared" si="2"/>
        <v>4007.3894467950736</v>
      </c>
      <c r="C26" s="133">
        <f t="shared" si="3"/>
        <v>710.90377150199311</v>
      </c>
      <c r="E26" s="133">
        <f t="shared" si="4"/>
        <v>105386.68005508286</v>
      </c>
      <c r="F26" s="134">
        <f t="shared" si="5"/>
        <v>13200</v>
      </c>
      <c r="G26" s="135">
        <f t="shared" si="1"/>
        <v>8757.7346052328721</v>
      </c>
    </row>
    <row r="27" spans="1:7" x14ac:dyDescent="0.2">
      <c r="A27" s="132">
        <f t="shared" si="0"/>
        <v>9</v>
      </c>
      <c r="B27" s="133">
        <f t="shared" si="2"/>
        <v>4800.0471520197962</v>
      </c>
      <c r="C27" s="133">
        <f t="shared" si="3"/>
        <v>792.65770522472258</v>
      </c>
      <c r="E27" s="133">
        <f t="shared" si="4"/>
        <v>100944.41466031573</v>
      </c>
      <c r="F27" s="134">
        <f t="shared" si="5"/>
        <v>13200</v>
      </c>
      <c r="G27" s="135">
        <f t="shared" si="1"/>
        <v>8335.7193927299941</v>
      </c>
    </row>
    <row r="28" spans="1:7" x14ac:dyDescent="0.2">
      <c r="A28" s="132">
        <f t="shared" si="0"/>
        <v>10</v>
      </c>
      <c r="B28" s="133">
        <f t="shared" si="2"/>
        <v>5683.8604933453626</v>
      </c>
      <c r="C28" s="133">
        <f t="shared" si="3"/>
        <v>883.8133413255664</v>
      </c>
      <c r="E28" s="133">
        <f t="shared" si="4"/>
        <v>96080.134053045724</v>
      </c>
      <c r="F28" s="134">
        <f t="shared" si="5"/>
        <v>13200</v>
      </c>
      <c r="G28" s="135">
        <f t="shared" si="1"/>
        <v>7873.6127350393435</v>
      </c>
    </row>
    <row r="29" spans="1:7" x14ac:dyDescent="0.2">
      <c r="A29" s="132">
        <f t="shared" si="0"/>
        <v>11</v>
      </c>
      <c r="B29" s="133">
        <f t="shared" si="2"/>
        <v>6669.3123689233689</v>
      </c>
      <c r="C29" s="133">
        <f t="shared" si="3"/>
        <v>985.45187557800637</v>
      </c>
      <c r="E29" s="133">
        <f t="shared" si="4"/>
        <v>90753.74678808506</v>
      </c>
      <c r="F29" s="134">
        <f t="shared" si="5"/>
        <v>13200</v>
      </c>
      <c r="G29" s="135">
        <f t="shared" si="1"/>
        <v>7367.6059448680808</v>
      </c>
    </row>
    <row r="30" spans="1:7" x14ac:dyDescent="0.2">
      <c r="A30" s="132">
        <f t="shared" si="0"/>
        <v>12</v>
      </c>
      <c r="B30" s="133">
        <f t="shared" si="2"/>
        <v>7768.0912101928461</v>
      </c>
      <c r="C30" s="133">
        <f t="shared" si="3"/>
        <v>1098.7788412694772</v>
      </c>
      <c r="E30" s="133">
        <f t="shared" si="4"/>
        <v>84921.352732953135</v>
      </c>
      <c r="F30" s="134">
        <f t="shared" si="5"/>
        <v>13200</v>
      </c>
      <c r="G30" s="135">
        <f t="shared" si="1"/>
        <v>6813.5285096305479</v>
      </c>
    </row>
    <row r="31" spans="1:7" x14ac:dyDescent="0.2">
      <c r="A31" s="132">
        <f t="shared" si="0"/>
        <v>13</v>
      </c>
      <c r="B31" s="133">
        <f t="shared" si="2"/>
        <v>8993.2296182083137</v>
      </c>
      <c r="C31" s="133">
        <f t="shared" si="3"/>
        <v>1225.1384080154676</v>
      </c>
      <c r="E31" s="133">
        <f t="shared" si="4"/>
        <v>78534.88124258368</v>
      </c>
      <c r="F31" s="134">
        <f t="shared" si="5"/>
        <v>13200</v>
      </c>
      <c r="G31" s="135">
        <f t="shared" si="1"/>
        <v>6206.8137180454496</v>
      </c>
    </row>
    <row r="32" spans="1:7" x14ac:dyDescent="0.2">
      <c r="A32" s="132">
        <f t="shared" si="0"/>
        <v>14</v>
      </c>
      <c r="B32" s="133">
        <f t="shared" si="2"/>
        <v>10359.258943145558</v>
      </c>
      <c r="C32" s="133">
        <f t="shared" si="3"/>
        <v>1366.0293249372444</v>
      </c>
      <c r="E32" s="133">
        <f t="shared" si="4"/>
        <v>71541.694960629131</v>
      </c>
      <c r="F32" s="134">
        <f t="shared" si="5"/>
        <v>13200</v>
      </c>
      <c r="G32" s="135">
        <f t="shared" si="1"/>
        <v>5542.4610212597672</v>
      </c>
    </row>
    <row r="33" spans="1:7" x14ac:dyDescent="0.2">
      <c r="A33" s="132">
        <f t="shared" si="0"/>
        <v>15</v>
      </c>
      <c r="B33" s="133">
        <f t="shared" si="2"/>
        <v>11882.381640450585</v>
      </c>
      <c r="C33" s="133">
        <f t="shared" si="3"/>
        <v>1523.122697305027</v>
      </c>
      <c r="E33" s="133">
        <f t="shared" si="4"/>
        <v>63884.1559818889</v>
      </c>
      <c r="F33" s="134">
        <f t="shared" si="5"/>
        <v>13200</v>
      </c>
      <c r="G33" s="135">
        <f t="shared" si="1"/>
        <v>4814.994818279446</v>
      </c>
    </row>
    <row r="34" spans="1:7" x14ac:dyDescent="0.2">
      <c r="A34" s="132">
        <f t="shared" si="0"/>
        <v>16</v>
      </c>
      <c r="B34" s="133">
        <f t="shared" si="2"/>
        <v>13580.663447945692</v>
      </c>
      <c r="C34" s="133">
        <f t="shared" si="3"/>
        <v>1698.2818074951065</v>
      </c>
      <c r="E34" s="133">
        <f t="shared" si="4"/>
        <v>55499.150800168347</v>
      </c>
      <c r="F34" s="134">
        <f t="shared" si="5"/>
        <v>13200</v>
      </c>
      <c r="G34" s="135">
        <f t="shared" si="1"/>
        <v>4018.4193260159932</v>
      </c>
    </row>
    <row r="35" spans="1:7" x14ac:dyDescent="0.2">
      <c r="A35" s="132">
        <f t="shared" si="0"/>
        <v>17</v>
      </c>
      <c r="B35" s="133">
        <f t="shared" si="2"/>
        <v>15474.247663302735</v>
      </c>
      <c r="C35" s="133">
        <f t="shared" si="3"/>
        <v>1893.5842153570429</v>
      </c>
      <c r="E35" s="133">
        <f t="shared" si="4"/>
        <v>46317.570126184342</v>
      </c>
      <c r="F35" s="134">
        <f t="shared" si="5"/>
        <v>13200</v>
      </c>
      <c r="G35" s="135">
        <f t="shared" si="1"/>
        <v>3146.1691619875128</v>
      </c>
    </row>
    <row r="36" spans="1:7" x14ac:dyDescent="0.2">
      <c r="A36" s="132">
        <f>A35+1</f>
        <v>18</v>
      </c>
      <c r="B36" s="133">
        <f t="shared" si="2"/>
        <v>17585.594063425837</v>
      </c>
      <c r="C36" s="133">
        <f t="shared" si="3"/>
        <v>2111.3464001231023</v>
      </c>
      <c r="E36" s="133">
        <f t="shared" si="4"/>
        <v>36263.739288171855</v>
      </c>
      <c r="F36" s="134">
        <f t="shared" si="5"/>
        <v>13200</v>
      </c>
      <c r="G36" s="135">
        <f t="shared" si="1"/>
        <v>2191.0552323763263</v>
      </c>
    </row>
    <row r="37" spans="1:7" x14ac:dyDescent="0.2">
      <c r="A37" s="132">
        <f t="shared" si="0"/>
        <v>19</v>
      </c>
      <c r="B37" s="133">
        <f t="shared" si="2"/>
        <v>19939.745299563096</v>
      </c>
      <c r="C37" s="133">
        <f t="shared" si="3"/>
        <v>2354.1512361372588</v>
      </c>
      <c r="E37" s="133">
        <f t="shared" si="4"/>
        <v>25254.794520548181</v>
      </c>
      <c r="F37" s="134">
        <f t="shared" si="5"/>
        <v>13200</v>
      </c>
      <c r="G37" s="135">
        <f t="shared" si="1"/>
        <v>1145.2054794520773</v>
      </c>
    </row>
    <row r="38" spans="1:7" x14ac:dyDescent="0.2">
      <c r="A38" s="132">
        <f t="shared" si="0"/>
        <v>20</v>
      </c>
      <c r="B38" s="133">
        <f t="shared" si="2"/>
        <v>22564.623927856141</v>
      </c>
      <c r="C38" s="133">
        <f t="shared" si="3"/>
        <v>2624.878628293045</v>
      </c>
      <c r="E38" s="133">
        <f t="shared" si="4"/>
        <v>13200.000000000258</v>
      </c>
      <c r="F38" s="136">
        <f t="shared" si="5"/>
        <v>13200</v>
      </c>
      <c r="G38" s="137">
        <f t="shared" si="1"/>
        <v>2.4538167053833604E-11</v>
      </c>
    </row>
    <row r="39" spans="1:7" x14ac:dyDescent="0.2">
      <c r="A39" s="132">
        <f t="shared" si="0"/>
        <v>21</v>
      </c>
      <c r="B39" s="133">
        <f t="shared" si="2"/>
        <v>25491.363598402884</v>
      </c>
      <c r="C39" s="133">
        <f t="shared" si="3"/>
        <v>2926.7396705467436</v>
      </c>
      <c r="E39" s="138">
        <f t="shared" si="4"/>
        <v>2.8283466235734524E-10</v>
      </c>
      <c r="F39" s="70"/>
      <c r="G39" s="70"/>
    </row>
    <row r="40" spans="1:7" x14ac:dyDescent="0.2">
      <c r="A40" s="132">
        <f t="shared" si="0"/>
        <v>22</v>
      </c>
      <c r="B40" s="133">
        <f t="shared" si="2"/>
        <v>28754.678331062503</v>
      </c>
      <c r="C40" s="133">
        <f t="shared" si="3"/>
        <v>3263.314732659619</v>
      </c>
    </row>
    <row r="41" spans="1:7" x14ac:dyDescent="0.2">
      <c r="A41" s="132">
        <f t="shared" si="0"/>
        <v>23</v>
      </c>
      <c r="B41" s="133">
        <f t="shared" si="2"/>
        <v>32393.274257977981</v>
      </c>
      <c r="C41" s="133">
        <f t="shared" si="3"/>
        <v>3638.5959269154773</v>
      </c>
    </row>
    <row r="42" spans="1:7" x14ac:dyDescent="0.2">
      <c r="A42" s="132">
        <f t="shared" si="0"/>
        <v>24</v>
      </c>
      <c r="B42" s="133">
        <f t="shared" si="2"/>
        <v>36450.30871648874</v>
      </c>
      <c r="C42" s="133">
        <f t="shared" si="3"/>
        <v>4057.0344585107596</v>
      </c>
    </row>
    <row r="43" spans="1:7" x14ac:dyDescent="0.2">
      <c r="A43" s="132">
        <f>A42+1</f>
        <v>25</v>
      </c>
      <c r="B43" s="133">
        <f t="shared" si="2"/>
        <v>40973.902137728241</v>
      </c>
      <c r="C43" s="133">
        <f t="shared" si="3"/>
        <v>4523.5934212395005</v>
      </c>
    </row>
    <row r="44" spans="1:7" x14ac:dyDescent="0.2">
      <c r="A44" s="132">
        <f t="shared" si="0"/>
        <v>26</v>
      </c>
      <c r="B44" s="133">
        <f t="shared" si="2"/>
        <v>46017.708802410278</v>
      </c>
      <c r="C44" s="133">
        <f t="shared" si="3"/>
        <v>5043.8066646820371</v>
      </c>
    </row>
    <row r="45" spans="1:7" x14ac:dyDescent="0.2">
      <c r="A45" s="132">
        <f t="shared" si="0"/>
        <v>27</v>
      </c>
      <c r="B45" s="133">
        <f t="shared" si="2"/>
        <v>51641.553233530751</v>
      </c>
      <c r="C45" s="133">
        <f t="shared" si="3"/>
        <v>5623.844431120473</v>
      </c>
    </row>
    <row r="46" spans="1:7" x14ac:dyDescent="0.2">
      <c r="A46" s="132">
        <f t="shared" si="0"/>
        <v>28</v>
      </c>
      <c r="B46" s="133">
        <f t="shared" si="2"/>
        <v>57912.139774230076</v>
      </c>
      <c r="C46" s="133">
        <f t="shared" si="3"/>
        <v>6270.5865406993253</v>
      </c>
    </row>
    <row r="47" spans="1:7" x14ac:dyDescent="0.2">
      <c r="A47" s="132">
        <f t="shared" si="0"/>
        <v>29</v>
      </c>
      <c r="B47" s="133">
        <f t="shared" si="2"/>
        <v>64903.843767109829</v>
      </c>
      <c r="C47" s="133">
        <f t="shared" si="3"/>
        <v>6991.7039928797531</v>
      </c>
    </row>
    <row r="48" spans="1:7" x14ac:dyDescent="0.2">
      <c r="A48" s="132">
        <f t="shared" si="0"/>
        <v>30</v>
      </c>
      <c r="B48" s="133">
        <f t="shared" si="2"/>
        <v>72699.593719170749</v>
      </c>
      <c r="C48" s="133">
        <f t="shared" si="3"/>
        <v>7795.7499520609199</v>
      </c>
    </row>
    <row r="49" spans="1:3" x14ac:dyDescent="0.2">
      <c r="A49" s="132">
        <f t="shared" si="0"/>
        <v>31</v>
      </c>
      <c r="B49" s="133">
        <f t="shared" si="2"/>
        <v>81391.854915718679</v>
      </c>
      <c r="C49" s="133">
        <f t="shared" si="3"/>
        <v>8692.26119654793</v>
      </c>
    </row>
    <row r="50" spans="1:3" x14ac:dyDescent="0.2">
      <c r="A50" s="132">
        <f t="shared" si="0"/>
        <v>32</v>
      </c>
      <c r="B50" s="133">
        <f t="shared" si="2"/>
        <v>91083.726149869617</v>
      </c>
      <c r="C50" s="133">
        <f t="shared" si="3"/>
        <v>9691.8712341509381</v>
      </c>
    </row>
    <row r="51" spans="1:3" x14ac:dyDescent="0.2">
      <c r="A51" s="132">
        <f>A50+1</f>
        <v>33</v>
      </c>
      <c r="B51" s="133">
        <f t="shared" si="2"/>
        <v>101890.16257594792</v>
      </c>
      <c r="C51" s="133">
        <f t="shared" si="3"/>
        <v>10806.436426078304</v>
      </c>
    </row>
    <row r="52" spans="1:3" x14ac:dyDescent="0.2">
      <c r="A52" s="132">
        <f t="shared" si="0"/>
        <v>34</v>
      </c>
      <c r="B52" s="133">
        <f t="shared" si="2"/>
        <v>113939.33919102522</v>
      </c>
      <c r="C52" s="133">
        <f t="shared" si="3"/>
        <v>12049.176615077304</v>
      </c>
    </row>
    <row r="53" spans="1:3" x14ac:dyDescent="0.2">
      <c r="A53" s="139">
        <f t="shared" si="0"/>
        <v>35</v>
      </c>
      <c r="B53" s="138">
        <f t="shared" si="2"/>
        <v>127374.17111683641</v>
      </c>
      <c r="C53" s="138">
        <f t="shared" si="3"/>
        <v>13434.831925811188</v>
      </c>
    </row>
  </sheetData>
  <sheetProtection password="BBA6" sheet="1" objects="1" scenarios="1"/>
  <mergeCells count="2">
    <mergeCell ref="A17:C17"/>
    <mergeCell ref="E17:G17"/>
  </mergeCells>
  <phoneticPr fontId="0" type="noConversion"/>
  <pageMargins left="0.57999999999999996" right="0.51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1" r:id="rId4" name="Button 5">
              <controlPr defaultSize="0" print="0" autoFill="0" autoPict="0">
                <anchor moveWithCells="1" sizeWithCells="1">
                  <from>
                    <xdr:col>0</xdr:col>
                    <xdr:colOff>57150</xdr:colOff>
                    <xdr:row>0</xdr:row>
                    <xdr:rowOff>161925</xdr:rowOff>
                  </from>
                  <to>
                    <xdr:col>1</xdr:col>
                    <xdr:colOff>609600</xdr:colOff>
                    <xdr:row>0</xdr:row>
                    <xdr:rowOff>466725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Wegweiser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Übungen zur Finanzwirtschaft</dc:title>
  <dc:subject>Finanzwirtschaft</dc:subject>
  <dc:creator>Volker Castor</dc:creator>
  <cp:lastModifiedBy>Volker</cp:lastModifiedBy>
  <cp:lastPrinted>2022-02-03T14:06:03Z</cp:lastPrinted>
  <dcterms:created xsi:type="dcterms:W3CDTF">2000-05-11T21:31:24Z</dcterms:created>
  <dcterms:modified xsi:type="dcterms:W3CDTF">2022-02-14T13:55:29Z</dcterms:modified>
</cp:coreProperties>
</file>